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24226"/>
  <xr:revisionPtr revIDLastSave="0" documentId="13_ncr:1_{E795E6F1-ADA8-4AB1-8865-41EB2698B07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ièces neuves" sheetId="2" r:id="rId1"/>
    <sheet name="Consommable" sheetId="3" r:id="rId2"/>
  </sheets>
  <calcPr calcId="191029"/>
</workbook>
</file>

<file path=xl/calcChain.xml><?xml version="1.0" encoding="utf-8"?>
<calcChain xmlns="http://schemas.openxmlformats.org/spreadsheetml/2006/main">
  <c r="G5" i="2" l="1"/>
  <c r="F63" i="2"/>
  <c r="E31" i="2"/>
  <c r="E25" i="2"/>
  <c r="E64" i="2"/>
  <c r="E63" i="2"/>
  <c r="E66" i="2"/>
  <c r="F66" i="2"/>
  <c r="E45" i="2"/>
  <c r="E46" i="2"/>
  <c r="E51" i="3"/>
  <c r="E61" i="2"/>
  <c r="E59" i="3"/>
  <c r="E61" i="3"/>
  <c r="E60" i="3"/>
  <c r="E72" i="3"/>
  <c r="E57" i="2"/>
  <c r="E41" i="2"/>
  <c r="E62" i="3"/>
  <c r="E63" i="3"/>
  <c r="E46" i="3"/>
  <c r="E19" i="2"/>
  <c r="E60" i="2"/>
  <c r="E40" i="2"/>
  <c r="E42" i="2"/>
  <c r="F42" i="2" s="1"/>
  <c r="E30" i="2"/>
  <c r="I6" i="2"/>
  <c r="K6" i="2" s="1"/>
  <c r="E55" i="3"/>
  <c r="F55" i="3" s="1"/>
  <c r="E55" i="2"/>
  <c r="E28" i="2"/>
  <c r="F28" i="2" s="1"/>
  <c r="E18" i="2"/>
  <c r="F14" i="2" s="1"/>
  <c r="E67" i="3"/>
  <c r="E68" i="3"/>
  <c r="E32" i="3"/>
  <c r="E31" i="3"/>
  <c r="F30" i="3" s="1"/>
  <c r="E34" i="3"/>
  <c r="E33" i="3"/>
  <c r="E22" i="2"/>
  <c r="E20" i="2"/>
  <c r="E47" i="2"/>
  <c r="F47" i="2" s="1"/>
  <c r="E58" i="2"/>
  <c r="E48" i="3"/>
  <c r="E42" i="3"/>
  <c r="N6" i="3"/>
  <c r="E50" i="3"/>
  <c r="E43" i="3"/>
  <c r="E36" i="2"/>
  <c r="E37" i="2"/>
  <c r="E52" i="2"/>
  <c r="E35" i="3"/>
  <c r="E69" i="3"/>
  <c r="E47" i="3"/>
  <c r="E38" i="3"/>
  <c r="E37" i="3"/>
  <c r="E71" i="3"/>
  <c r="E57" i="3"/>
  <c r="E21" i="3"/>
  <c r="E51" i="2"/>
  <c r="E75" i="3"/>
  <c r="E76" i="3"/>
  <c r="E5" i="3"/>
  <c r="E7" i="3"/>
  <c r="E8" i="3"/>
  <c r="E9" i="3"/>
  <c r="E11" i="3"/>
  <c r="E12" i="3"/>
  <c r="E13" i="3"/>
  <c r="E14" i="3"/>
  <c r="E15" i="3"/>
  <c r="E17" i="3"/>
  <c r="E20" i="3"/>
  <c r="E27" i="3"/>
  <c r="E28" i="3"/>
  <c r="E9" i="2"/>
  <c r="F5" i="2" s="1"/>
  <c r="E72" i="2"/>
  <c r="G67" i="2" s="1"/>
  <c r="E74" i="3"/>
  <c r="K16" i="3"/>
  <c r="F49" i="2" l="1"/>
  <c r="F30" i="2"/>
  <c r="F58" i="2"/>
  <c r="F21" i="2"/>
  <c r="F57" i="3"/>
  <c r="F67" i="3"/>
  <c r="F36" i="3"/>
  <c r="F50" i="3"/>
  <c r="F25" i="3"/>
  <c r="F5" i="3"/>
  <c r="G69" i="3"/>
  <c r="F32" i="3"/>
  <c r="F9" i="3"/>
  <c r="F14" i="3"/>
  <c r="G76" i="2" l="1"/>
  <c r="G55" i="3"/>
  <c r="G5" i="3"/>
  <c r="G30" i="3"/>
  <c r="G79" i="3" l="1"/>
  <c r="G79" i="2" s="1"/>
</calcChain>
</file>

<file path=xl/sharedStrings.xml><?xml version="1.0" encoding="utf-8"?>
<sst xmlns="http://schemas.openxmlformats.org/spreadsheetml/2006/main" count="189" uniqueCount="173">
  <si>
    <t>Rondelle Inox (pont arrière)</t>
  </si>
  <si>
    <t>Brosse métallique perceuse</t>
  </si>
  <si>
    <t>Brosse métallique dremel</t>
  </si>
  <si>
    <t>Peinture appret bombe x2</t>
  </si>
  <si>
    <t>Peinture barre d torsion (S-C + verre + rouge)</t>
  </si>
  <si>
    <t>Peinture noir antirouille 500ml x2</t>
  </si>
  <si>
    <t>HT</t>
  </si>
  <si>
    <t>TVA</t>
  </si>
  <si>
    <t>TTC</t>
  </si>
  <si>
    <t>Pochette moteur billancourt</t>
  </si>
  <si>
    <t>Cylindre roue x2 + 4 flexibles + MC + 4 raccords</t>
  </si>
  <si>
    <t>Peinture etrier</t>
  </si>
  <si>
    <t>Graisseurs + goupilles</t>
  </si>
  <si>
    <t>Graisse croisillons</t>
  </si>
  <si>
    <t>Planchers</t>
  </si>
  <si>
    <t>Courroies</t>
  </si>
  <si>
    <t>Roulements 123roulements</t>
  </si>
  <si>
    <t>Cache rotule</t>
  </si>
  <si>
    <t>Raccords spéciaux pour cylindres de roue arrière</t>
  </si>
  <si>
    <t>Cale pompe à essence</t>
  </si>
  <si>
    <t>Support de bras interne arrière x2</t>
  </si>
  <si>
    <t>support de bras externes x2</t>
  </si>
  <si>
    <t>Mastic alu (pour chassis)</t>
  </si>
  <si>
    <t>Bobine 0,5kg MIG x3</t>
  </si>
  <si>
    <t>Recharge gaz MIG</t>
  </si>
  <si>
    <t>Plaque metal 10/10 100cmx50cm</t>
  </si>
  <si>
    <t>WD 40 400 ml x2</t>
  </si>
  <si>
    <t>Peinture noir a chassis + antigravillon</t>
  </si>
  <si>
    <t>Rustol CIP 500ml x5</t>
  </si>
  <si>
    <t>Brosse métallique disqueuse x3</t>
  </si>
  <si>
    <t>Rondelles neuves</t>
  </si>
  <si>
    <t>Caoutchouc echappement</t>
  </si>
  <si>
    <t>Lime pour lime électrique</t>
  </si>
  <si>
    <t>Peinture noir en bombe x2</t>
  </si>
  <si>
    <t>Plat acier pour Y sinpar</t>
  </si>
  <si>
    <t>Désignation</t>
  </si>
  <si>
    <t>Prix</t>
  </si>
  <si>
    <t>Kit Sinpar (avec une 4L autour)</t>
  </si>
  <si>
    <t>Rustol Owatrol 500ml</t>
  </si>
  <si>
    <t>Plaque goudron insonorisant</t>
  </si>
  <si>
    <t>Restauration : chassis + train + réservoir + kit Sinpar</t>
  </si>
  <si>
    <t>Disque meulage disqueuse x3</t>
  </si>
  <si>
    <t>Kit traitement réservoir Restom</t>
  </si>
  <si>
    <t>Disque de découpe disqueuse x2</t>
  </si>
  <si>
    <t>Peinture antirouille Mat pour retouche (250ml)</t>
  </si>
  <si>
    <t>Trains roulants</t>
  </si>
  <si>
    <t>Freinage</t>
  </si>
  <si>
    <t>Moteur</t>
  </si>
  <si>
    <t>Divers</t>
  </si>
  <si>
    <t>Sous-total</t>
  </si>
  <si>
    <t>Pièces 4L "classique"</t>
  </si>
  <si>
    <t>Pièces spécifiques Sinpar</t>
  </si>
  <si>
    <t>Total avec Consommables :</t>
  </si>
  <si>
    <t>Peinture et traitement</t>
  </si>
  <si>
    <t>Soudure</t>
  </si>
  <si>
    <t>Décapage - préparation</t>
  </si>
  <si>
    <t>Direction</t>
  </si>
  <si>
    <t>Consommables
divers</t>
  </si>
  <si>
    <t>Peinture cuivre (1/2 bombe)</t>
  </si>
  <si>
    <t>20 cm de zinc (solution électrozingage)</t>
  </si>
  <si>
    <t>* Comptabilisé mais pas encore consommé</t>
  </si>
  <si>
    <t>Calcul prix TTC</t>
  </si>
  <si>
    <t>Carrosserie 4L (4L F4 1973 complète)</t>
  </si>
  <si>
    <t>Châssis
- Carrosserie</t>
  </si>
  <si>
    <t>Silent-blocs pont et transmission sinpar</t>
  </si>
  <si>
    <t>Croissillons transmissions</t>
  </si>
  <si>
    <t>Raccords tuyau cuivre + joint cuivre</t>
  </si>
  <si>
    <t>Amortisseurs x4</t>
  </si>
  <si>
    <t>Silent-blocs tirant de chasse x2</t>
  </si>
  <si>
    <t>Rotules Suspension sup x2</t>
  </si>
  <si>
    <t>Rotules Suspension inf x2</t>
  </si>
  <si>
    <t>Machoires frein 229mm x2</t>
  </si>
  <si>
    <t>Cardan x 1</t>
  </si>
  <si>
    <t>soufflet cardan x1</t>
  </si>
  <si>
    <t>Feuille de joint x2 (0,20 et 0,50 mm)</t>
  </si>
  <si>
    <t>Consommable - Restauration Renault 4L Sinpar 1968</t>
  </si>
  <si>
    <t>Pièces neuves - Restauration Renault 4L Sinpar 1968</t>
  </si>
  <si>
    <t>Clip canalisation cuivre</t>
  </si>
  <si>
    <t>Pompe à essence + clip plastique canalisation</t>
  </si>
  <si>
    <t>Restauration Pièces</t>
  </si>
  <si>
    <t>Tole acier (20x100x0,75 + 25x50x0,75)</t>
  </si>
  <si>
    <t>Rustol CIP 2,5 L</t>
  </si>
  <si>
    <t>Papier de verre (utilisations diverses)</t>
  </si>
  <si>
    <t>joint polyuréthane noir 310ml</t>
  </si>
  <si>
    <t>Brosse Métallique pour perceuse/disqueuse</t>
  </si>
  <si>
    <t>Disque abrasive à lamelles pour meuleuse</t>
  </si>
  <si>
    <t>Outils dremel (utilisations diverses)</t>
  </si>
  <si>
    <t>Antigravillon à pistoler 1L (2 noir + 2 gris)</t>
  </si>
  <si>
    <t>Peinture noire Hammerite 1L + diluant</t>
  </si>
  <si>
    <t>Peinture noire Hammerite 1,5L + diluant</t>
  </si>
  <si>
    <t>Adhesif peinture</t>
  </si>
  <si>
    <t>Bobine fil acier 6mm (MIG) 700g + 5kg</t>
  </si>
  <si>
    <t>Disque découpe x2</t>
  </si>
  <si>
    <t>White Spirit 10L</t>
  </si>
  <si>
    <t>Acide chlorhydrique</t>
  </si>
  <si>
    <t>Peinture cuivre + zinc (3,5 bombes)</t>
  </si>
  <si>
    <t>Appret garnissant (5L)</t>
  </si>
  <si>
    <t>Cire corps creux 1L</t>
  </si>
  <si>
    <t>Mastics + temoin de ponçage</t>
  </si>
  <si>
    <t>Peinture noire mat Syntilor 750ml</t>
  </si>
  <si>
    <t>Support moteur (gauche)</t>
  </si>
  <si>
    <t>Jauge à essence courte</t>
  </si>
  <si>
    <t>Ailes avant</t>
  </si>
  <si>
    <t>Peinture Noir Satiné en bombe x2</t>
  </si>
  <si>
    <t>Peinture Gris anthracite en bombe x1 (réservoir)</t>
  </si>
  <si>
    <t>Baches plastiques (15x3m)</t>
  </si>
  <si>
    <t>Peinture Gris ardoise Syntilor 250ml (réservoir)</t>
  </si>
  <si>
    <t>Abrasif P500 (ponçage appret)</t>
  </si>
  <si>
    <t>Coffret passe cables caoutchouc</t>
  </si>
  <si>
    <t>Essence F 1L</t>
  </si>
  <si>
    <t>Peinture Blanc Brillant en bombe x2 (joues d'aile)</t>
  </si>
  <si>
    <t>Silent-blocs triangle avant (jeu complet)</t>
  </si>
  <si>
    <t>Refroidissement</t>
  </si>
  <si>
    <t>Durites refroidissement (radiateur chauffage)</t>
  </si>
  <si>
    <t>Contact feux stop</t>
  </si>
  <si>
    <t>Electricité</t>
  </si>
  <si>
    <t>Cabochon clignotant</t>
  </si>
  <si>
    <t>Kit freins arrière 160x26</t>
  </si>
  <si>
    <t>Transmisson / BdV</t>
  </si>
  <si>
    <t>Scotch isolant faisceaau élec</t>
  </si>
  <si>
    <t>Kit embrayage diam 160</t>
  </si>
  <si>
    <t>Pochette de joint BdV 334 + joint spi arbre 1aire</t>
  </si>
  <si>
    <t>Joint polyuréthane 310ml noir (7 cartouches)</t>
  </si>
  <si>
    <t>Joint polyuréthane 310ml blanc (1 cartouche)</t>
  </si>
  <si>
    <t>Quincaillerie (rondelles, écrous, vis, rivets,…)</t>
  </si>
  <si>
    <t>Bandes pour lime électrique</t>
  </si>
  <si>
    <t>Peinture Luxens noir satiné 0,5L</t>
  </si>
  <si>
    <t>Rustol Owatrol 1L</t>
  </si>
  <si>
    <t>Disque de découp Dremel</t>
  </si>
  <si>
    <t>Durites essence</t>
  </si>
  <si>
    <t>"Restauration
carrosserie"</t>
  </si>
  <si>
    <t>Disque diam 150 P240 (finition portes avant appret)</t>
  </si>
  <si>
    <t>Kit barre stabilisatrice diamètre 16mm</t>
  </si>
  <si>
    <t>Rustol CIP 2x2,5 L + 0,75L</t>
  </si>
  <si>
    <t>Billes BdV (baladeur 1/2 + fourchette 4eme)</t>
  </si>
  <si>
    <t>Flexibles avant</t>
  </si>
  <si>
    <t>Support calandre</t>
  </si>
  <si>
    <t>Soufflet + rotutules + flector + biellettes</t>
  </si>
  <si>
    <t>joint torique + roulement</t>
  </si>
  <si>
    <t>Roulements tendeur de courroie</t>
  </si>
  <si>
    <t>Roulement Dynamo</t>
  </si>
  <si>
    <t>Plots caoucthouc siège rabattable</t>
  </si>
  <si>
    <t>Peinture bordeaux (bombe)</t>
  </si>
  <si>
    <t>Equipage mobile (piston, chemise, coussinet)</t>
  </si>
  <si>
    <t>Pompe à eau + calorstat</t>
  </si>
  <si>
    <t>Carburateur</t>
  </si>
  <si>
    <t>Clip de maintien tige carbu</t>
  </si>
  <si>
    <t>Filtre à essence + filtre à air + filtre àhuile</t>
  </si>
  <si>
    <t>Démarreur neuf</t>
  </si>
  <si>
    <t>Appret en bombe (400ml-600ml) x7</t>
  </si>
  <si>
    <t>Peinture noir brillant (bombe 600ml)</t>
  </si>
  <si>
    <t>Peinture spécial collecteur</t>
  </si>
  <si>
    <t>Huile de boite de vitesse</t>
  </si>
  <si>
    <t>Divers culasse</t>
  </si>
  <si>
    <t>Joints poignées + colerette réservoir</t>
  </si>
  <si>
    <t>Peinture noire satiné Luxens 500ml</t>
  </si>
  <si>
    <t>Acetone 5L x7</t>
  </si>
  <si>
    <t>Colle en bombe (pour mousse de siège)</t>
  </si>
  <si>
    <t>Peinture Antracythe réservoir (250ml)</t>
  </si>
  <si>
    <t>Disuqe abrasif diam 500 divers (240 ou -)</t>
  </si>
  <si>
    <t>Apprêt gris en bombe</t>
  </si>
  <si>
    <t>Peinture gris métal en bombe</t>
  </si>
  <si>
    <t>Peinture fer martelé (moteur)</t>
  </si>
  <si>
    <t>Batterie neuve + cosses</t>
  </si>
  <si>
    <t>Sièges</t>
  </si>
  <si>
    <t>Housses des sièges</t>
  </si>
  <si>
    <t>Mousse de siège</t>
  </si>
  <si>
    <t>Nécessaire de repose (agraphes,…)</t>
  </si>
  <si>
    <t>Pointeau en 1,5</t>
  </si>
  <si>
    <t>Câble d'accélérateur</t>
  </si>
  <si>
    <t>Joint + kit d'arbre de commande</t>
  </si>
  <si>
    <t>Durite de recyclage d'huile</t>
  </si>
  <si>
    <t>Rustol CIP 0,75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</si>
</sst>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Calibri"/>
      <family val="2"/>
    </font>
    <font>
      <b/>
      <i/>
      <sz val="20"/>
      <color indexed="8"/>
      <name val="Calibri"/>
      <family val="2"/>
    </font>
    <font>
      <b/>
      <sz val="14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lightTrellis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71">
    <xf numFmtId="0" fontId="0" fillId="0" borderId="0" xfId="0"/>
    <xf numFmtId="0" fontId="0" fillId="0" borderId="1" xfId="0" applyBorder="1"/>
    <xf numFmtId="0" fontId="4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0" fillId="0" borderId="0" xfId="0" applyNumberFormat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6" borderId="4" xfId="0" applyFill="1" applyBorder="1"/>
    <xf numFmtId="0" fontId="0" fillId="6" borderId="5" xfId="0" applyFill="1" applyBorder="1"/>
    <xf numFmtId="0" fontId="0" fillId="7" borderId="6" xfId="0" applyFill="1" applyBorder="1"/>
    <xf numFmtId="0" fontId="2" fillId="3" borderId="7" xfId="0" applyFont="1" applyFill="1" applyBorder="1" applyAlignment="1">
      <alignment horizontal="center"/>
    </xf>
    <xf numFmtId="2" fontId="0" fillId="0" borderId="8" xfId="0" applyNumberFormat="1" applyBorder="1"/>
    <xf numFmtId="0" fontId="0" fillId="0" borderId="5" xfId="0" applyBorder="1"/>
    <xf numFmtId="164" fontId="0" fillId="0" borderId="9" xfId="0" applyNumberFormat="1" applyBorder="1"/>
    <xf numFmtId="0" fontId="0" fillId="0" borderId="6" xfId="0" applyBorder="1"/>
    <xf numFmtId="164" fontId="0" fillId="0" borderId="10" xfId="0" applyNumberFormat="1" applyBorder="1"/>
    <xf numFmtId="0" fontId="0" fillId="0" borderId="0" xfId="0" applyAlignment="1">
      <alignment horizontal="center"/>
    </xf>
    <xf numFmtId="0" fontId="0" fillId="7" borderId="5" xfId="0" applyFill="1" applyBorder="1"/>
    <xf numFmtId="0" fontId="2" fillId="3" borderId="11" xfId="0" applyFont="1" applyFill="1" applyBorder="1" applyAlignment="1">
      <alignment horizontal="center"/>
    </xf>
    <xf numFmtId="0" fontId="0" fillId="7" borderId="12" xfId="0" applyFill="1" applyBorder="1"/>
    <xf numFmtId="164" fontId="0" fillId="0" borderId="13" xfId="0" applyNumberFormat="1" applyBorder="1"/>
    <xf numFmtId="164" fontId="0" fillId="0" borderId="0" xfId="0" applyNumberFormat="1"/>
    <xf numFmtId="164" fontId="0" fillId="9" borderId="14" xfId="0" applyNumberFormat="1" applyFill="1" applyBorder="1" applyAlignment="1">
      <alignment vertical="center"/>
    </xf>
    <xf numFmtId="164" fontId="0" fillId="9" borderId="8" xfId="0" applyNumberFormat="1" applyFill="1" applyBorder="1" applyAlignment="1">
      <alignment vertical="center"/>
    </xf>
    <xf numFmtId="164" fontId="0" fillId="9" borderId="15" xfId="0" applyNumberFormat="1" applyFill="1" applyBorder="1" applyAlignment="1">
      <alignment vertical="center"/>
    </xf>
    <xf numFmtId="0" fontId="0" fillId="8" borderId="4" xfId="0" applyFill="1" applyBorder="1"/>
    <xf numFmtId="0" fontId="0" fillId="8" borderId="5" xfId="0" applyFill="1" applyBorder="1"/>
    <xf numFmtId="164" fontId="0" fillId="8" borderId="16" xfId="0" applyNumberFormat="1" applyFill="1" applyBorder="1" applyAlignment="1">
      <alignment horizontal="right" vertical="center"/>
    </xf>
    <xf numFmtId="164" fontId="0" fillId="8" borderId="9" xfId="0" applyNumberFormat="1" applyFill="1" applyBorder="1" applyAlignment="1">
      <alignment horizontal="right" vertical="center"/>
    </xf>
    <xf numFmtId="164" fontId="0" fillId="5" borderId="16" xfId="0" applyNumberFormat="1" applyFill="1" applyBorder="1" applyAlignment="1">
      <alignment horizontal="right" vertical="center"/>
    </xf>
    <xf numFmtId="164" fontId="0" fillId="5" borderId="9" xfId="0" applyNumberFormat="1" applyFill="1" applyBorder="1" applyAlignment="1">
      <alignment horizontal="right" vertical="center"/>
    </xf>
    <xf numFmtId="0" fontId="0" fillId="7" borderId="4" xfId="0" applyFill="1" applyBorder="1"/>
    <xf numFmtId="164" fontId="0" fillId="7" borderId="16" xfId="0" applyNumberFormat="1" applyFill="1" applyBorder="1" applyAlignment="1">
      <alignment horizontal="right" vertical="center"/>
    </xf>
    <xf numFmtId="164" fontId="0" fillId="7" borderId="10" xfId="0" applyNumberFormat="1" applyFill="1" applyBorder="1" applyAlignment="1">
      <alignment horizontal="right" vertical="center"/>
    </xf>
    <xf numFmtId="164" fontId="0" fillId="6" borderId="16" xfId="0" applyNumberFormat="1" applyFill="1" applyBorder="1" applyAlignment="1">
      <alignment horizontal="right" vertical="center"/>
    </xf>
    <xf numFmtId="164" fontId="0" fillId="6" borderId="9" xfId="0" applyNumberFormat="1" applyFill="1" applyBorder="1" applyAlignment="1">
      <alignment horizontal="right" vertical="center"/>
    </xf>
    <xf numFmtId="0" fontId="0" fillId="11" borderId="4" xfId="0" applyFill="1" applyBorder="1"/>
    <xf numFmtId="164" fontId="0" fillId="11" borderId="16" xfId="0" applyNumberFormat="1" applyFill="1" applyBorder="1" applyAlignment="1">
      <alignment horizontal="right" vertical="center"/>
    </xf>
    <xf numFmtId="0" fontId="0" fillId="11" borderId="5" xfId="0" applyFill="1" applyBorder="1"/>
    <xf numFmtId="164" fontId="0" fillId="11" borderId="9" xfId="0" applyNumberFormat="1" applyFill="1" applyBorder="1" applyAlignment="1">
      <alignment horizontal="right" vertical="center"/>
    </xf>
    <xf numFmtId="0" fontId="0" fillId="6" borderId="17" xfId="0" applyFill="1" applyBorder="1"/>
    <xf numFmtId="0" fontId="0" fillId="0" borderId="12" xfId="0" applyBorder="1"/>
    <xf numFmtId="164" fontId="0" fillId="6" borderId="16" xfId="0" applyNumberFormat="1" applyFill="1" applyBorder="1"/>
    <xf numFmtId="164" fontId="0" fillId="6" borderId="9" xfId="0" applyNumberFormat="1" applyFill="1" applyBorder="1"/>
    <xf numFmtId="164" fontId="0" fillId="6" borderId="18" xfId="0" applyNumberFormat="1" applyFill="1" applyBorder="1"/>
    <xf numFmtId="164" fontId="0" fillId="7" borderId="13" xfId="0" applyNumberFormat="1" applyFill="1" applyBorder="1"/>
    <xf numFmtId="164" fontId="0" fillId="7" borderId="9" xfId="0" applyNumberFormat="1" applyFill="1" applyBorder="1"/>
    <xf numFmtId="164" fontId="0" fillId="7" borderId="10" xfId="0" applyNumberFormat="1" applyFill="1" applyBorder="1"/>
    <xf numFmtId="164" fontId="0" fillId="5" borderId="16" xfId="0" applyNumberFormat="1" applyFill="1" applyBorder="1"/>
    <xf numFmtId="164" fontId="0" fillId="5" borderId="9" xfId="0" applyNumberFormat="1" applyFill="1" applyBorder="1"/>
    <xf numFmtId="164" fontId="0" fillId="5" borderId="10" xfId="0" applyNumberFormat="1" applyFill="1" applyBorder="1"/>
    <xf numFmtId="164" fontId="0" fillId="8" borderId="19" xfId="0" applyNumberFormat="1" applyFill="1" applyBorder="1"/>
    <xf numFmtId="164" fontId="0" fillId="8" borderId="20" xfId="0" applyNumberFormat="1" applyFill="1" applyBorder="1"/>
    <xf numFmtId="164" fontId="0" fillId="8" borderId="21" xfId="0" applyNumberFormat="1" applyFill="1" applyBorder="1"/>
    <xf numFmtId="0" fontId="0" fillId="0" borderId="17" xfId="0" applyBorder="1"/>
    <xf numFmtId="164" fontId="0" fillId="0" borderId="18" xfId="0" applyNumberFormat="1" applyBorder="1"/>
    <xf numFmtId="0" fontId="2" fillId="9" borderId="22" xfId="0" applyFont="1" applyFill="1" applyBorder="1" applyAlignment="1">
      <alignment vertical="center" textRotation="90"/>
    </xf>
    <xf numFmtId="0" fontId="2" fillId="9" borderId="23" xfId="0" applyFont="1" applyFill="1" applyBorder="1" applyAlignment="1">
      <alignment vertical="center" textRotation="90"/>
    </xf>
    <xf numFmtId="0" fontId="2" fillId="9" borderId="24" xfId="0" applyFont="1" applyFill="1" applyBorder="1" applyAlignment="1">
      <alignment vertical="center" textRotation="90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164" fontId="6" fillId="7" borderId="1" xfId="0" applyNumberFormat="1" applyFont="1" applyFill="1" applyBorder="1"/>
    <xf numFmtId="164" fontId="9" fillId="0" borderId="26" xfId="0" applyNumberFormat="1" applyFont="1" applyBorder="1" applyAlignment="1">
      <alignment horizontal="center" vertical="center"/>
    </xf>
    <xf numFmtId="0" fontId="4" fillId="0" borderId="0" xfId="0" quotePrefix="1" applyFont="1"/>
    <xf numFmtId="0" fontId="2" fillId="5" borderId="20" xfId="0" applyFont="1" applyFill="1" applyBorder="1" applyAlignment="1">
      <alignment horizontal="left"/>
    </xf>
    <xf numFmtId="0" fontId="0" fillId="5" borderId="28" xfId="0" applyFill="1" applyBorder="1" applyAlignment="1">
      <alignment horizontal="left"/>
    </xf>
    <xf numFmtId="0" fontId="0" fillId="5" borderId="27" xfId="0" applyFill="1" applyBorder="1" applyAlignment="1">
      <alignment horizontal="left"/>
    </xf>
    <xf numFmtId="0" fontId="0" fillId="5" borderId="17" xfId="0" applyFill="1" applyBorder="1"/>
    <xf numFmtId="0" fontId="0" fillId="8" borderId="17" xfId="0" applyFill="1" applyBorder="1"/>
    <xf numFmtId="0" fontId="10" fillId="0" borderId="5" xfId="0" applyFont="1" applyBorder="1"/>
    <xf numFmtId="164" fontId="10" fillId="0" borderId="9" xfId="0" applyNumberFormat="1" applyFont="1" applyBorder="1"/>
    <xf numFmtId="0" fontId="10" fillId="0" borderId="17" xfId="0" applyFont="1" applyBorder="1"/>
    <xf numFmtId="164" fontId="10" fillId="0" borderId="18" xfId="0" applyNumberFormat="1" applyFont="1" applyBorder="1"/>
    <xf numFmtId="0" fontId="10" fillId="0" borderId="6" xfId="0" applyFont="1" applyBorder="1"/>
    <xf numFmtId="164" fontId="10" fillId="0" borderId="10" xfId="0" applyNumberFormat="1" applyFont="1" applyBorder="1"/>
    <xf numFmtId="0" fontId="0" fillId="0" borderId="0" xfId="0" quotePrefix="1"/>
    <xf numFmtId="0" fontId="7" fillId="9" borderId="8" xfId="0" applyFont="1" applyFill="1" applyBorder="1" applyAlignment="1">
      <alignment horizontal="center" vertical="center" textRotation="90" wrapText="1"/>
    </xf>
    <xf numFmtId="0" fontId="0" fillId="6" borderId="6" xfId="0" applyFill="1" applyBorder="1"/>
    <xf numFmtId="164" fontId="0" fillId="6" borderId="10" xfId="0" applyNumberFormat="1" applyFill="1" applyBorder="1" applyAlignment="1">
      <alignment horizontal="right" vertical="center"/>
    </xf>
    <xf numFmtId="164" fontId="0" fillId="8" borderId="18" xfId="0" applyNumberFormat="1" applyFill="1" applyBorder="1" applyAlignment="1">
      <alignment horizontal="right" vertical="center"/>
    </xf>
    <xf numFmtId="164" fontId="0" fillId="13" borderId="9" xfId="0" applyNumberFormat="1" applyFill="1" applyBorder="1" applyAlignment="1">
      <alignment horizontal="right" vertical="center"/>
    </xf>
    <xf numFmtId="164" fontId="0" fillId="13" borderId="18" xfId="0" applyNumberFormat="1" applyFill="1" applyBorder="1" applyAlignment="1">
      <alignment horizontal="right" vertical="center"/>
    </xf>
    <xf numFmtId="164" fontId="0" fillId="7" borderId="9" xfId="0" applyNumberFormat="1" applyFill="1" applyBorder="1" applyAlignment="1">
      <alignment horizontal="right" vertical="center"/>
    </xf>
    <xf numFmtId="0" fontId="0" fillId="10" borderId="12" xfId="0" applyFill="1" applyBorder="1"/>
    <xf numFmtId="164" fontId="0" fillId="10" borderId="13" xfId="0" applyNumberFormat="1" applyFill="1" applyBorder="1" applyAlignment="1">
      <alignment horizontal="right" vertical="center"/>
    </xf>
    <xf numFmtId="0" fontId="0" fillId="10" borderId="17" xfId="0" applyFill="1" applyBorder="1"/>
    <xf numFmtId="164" fontId="0" fillId="10" borderId="18" xfId="0" applyNumberFormat="1" applyFill="1" applyBorder="1" applyAlignment="1">
      <alignment horizontal="right" vertical="center"/>
    </xf>
    <xf numFmtId="0" fontId="0" fillId="11" borderId="17" xfId="0" applyFill="1" applyBorder="1"/>
    <xf numFmtId="164" fontId="0" fillId="11" borderId="18" xfId="0" applyNumberFormat="1" applyFill="1" applyBorder="1" applyAlignment="1">
      <alignment horizontal="right" vertical="center"/>
    </xf>
    <xf numFmtId="0" fontId="0" fillId="15" borderId="4" xfId="0" applyFill="1" applyBorder="1"/>
    <xf numFmtId="164" fontId="0" fillId="15" borderId="16" xfId="0" applyNumberFormat="1" applyFill="1" applyBorder="1" applyAlignment="1">
      <alignment horizontal="right" vertical="center"/>
    </xf>
    <xf numFmtId="0" fontId="0" fillId="15" borderId="5" xfId="0" applyFill="1" applyBorder="1"/>
    <xf numFmtId="164" fontId="0" fillId="15" borderId="9" xfId="0" applyNumberFormat="1" applyFill="1" applyBorder="1" applyAlignment="1">
      <alignment horizontal="right" vertical="center"/>
    </xf>
    <xf numFmtId="0" fontId="0" fillId="15" borderId="6" xfId="0" applyFill="1" applyBorder="1"/>
    <xf numFmtId="164" fontId="0" fillId="15" borderId="10" xfId="0" applyNumberFormat="1" applyFill="1" applyBorder="1" applyAlignment="1">
      <alignment horizontal="right" vertical="center"/>
    </xf>
    <xf numFmtId="0" fontId="10" fillId="4" borderId="2" xfId="0" applyFont="1" applyFill="1" applyBorder="1"/>
    <xf numFmtId="164" fontId="10" fillId="4" borderId="34" xfId="0" applyNumberFormat="1" applyFont="1" applyFill="1" applyBorder="1"/>
    <xf numFmtId="0" fontId="0" fillId="8" borderId="36" xfId="0" applyFill="1" applyBorder="1"/>
    <xf numFmtId="0" fontId="0" fillId="8" borderId="27" xfId="0" applyFill="1" applyBorder="1"/>
    <xf numFmtId="0" fontId="0" fillId="8" borderId="35" xfId="0" applyFill="1" applyBorder="1"/>
    <xf numFmtId="0" fontId="10" fillId="17" borderId="4" xfId="0" applyFont="1" applyFill="1" applyBorder="1"/>
    <xf numFmtId="164" fontId="10" fillId="17" borderId="19" xfId="0" applyNumberFormat="1" applyFont="1" applyFill="1" applyBorder="1"/>
    <xf numFmtId="0" fontId="10" fillId="17" borderId="6" xfId="0" applyFont="1" applyFill="1" applyBorder="1"/>
    <xf numFmtId="164" fontId="10" fillId="17" borderId="37" xfId="0" applyNumberFormat="1" applyFont="1" applyFill="1" applyBorder="1"/>
    <xf numFmtId="0" fontId="10" fillId="17" borderId="5" xfId="0" applyFont="1" applyFill="1" applyBorder="1"/>
    <xf numFmtId="164" fontId="10" fillId="17" borderId="20" xfId="0" applyNumberFormat="1" applyFont="1" applyFill="1" applyBorder="1"/>
    <xf numFmtId="0" fontId="10" fillId="18" borderId="4" xfId="0" applyFont="1" applyFill="1" applyBorder="1"/>
    <xf numFmtId="164" fontId="10" fillId="18" borderId="16" xfId="0" applyNumberFormat="1" applyFont="1" applyFill="1" applyBorder="1"/>
    <xf numFmtId="0" fontId="10" fillId="18" borderId="29" xfId="0" applyFont="1" applyFill="1" applyBorder="1"/>
    <xf numFmtId="164" fontId="10" fillId="18" borderId="30" xfId="0" applyNumberFormat="1" applyFont="1" applyFill="1" applyBorder="1"/>
    <xf numFmtId="0" fontId="10" fillId="18" borderId="12" xfId="0" applyFont="1" applyFill="1" applyBorder="1"/>
    <xf numFmtId="164" fontId="10" fillId="18" borderId="13" xfId="0" applyNumberFormat="1" applyFont="1" applyFill="1" applyBorder="1"/>
    <xf numFmtId="0" fontId="10" fillId="18" borderId="5" xfId="0" applyFont="1" applyFill="1" applyBorder="1"/>
    <xf numFmtId="164" fontId="10" fillId="18" borderId="9" xfId="0" applyNumberFormat="1" applyFont="1" applyFill="1" applyBorder="1"/>
    <xf numFmtId="0" fontId="10" fillId="18" borderId="17" xfId="0" applyFont="1" applyFill="1" applyBorder="1"/>
    <xf numFmtId="164" fontId="10" fillId="18" borderId="18" xfId="0" applyNumberFormat="1" applyFont="1" applyFill="1" applyBorder="1"/>
    <xf numFmtId="0" fontId="0" fillId="6" borderId="12" xfId="0" applyFill="1" applyBorder="1"/>
    <xf numFmtId="164" fontId="0" fillId="6" borderId="13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14" borderId="4" xfId="0" applyFill="1" applyBorder="1"/>
    <xf numFmtId="164" fontId="0" fillId="14" borderId="16" xfId="0" applyNumberFormat="1" applyFill="1" applyBorder="1" applyAlignment="1">
      <alignment horizontal="right" vertical="center"/>
    </xf>
    <xf numFmtId="0" fontId="0" fillId="14" borderId="6" xfId="0" applyFill="1" applyBorder="1"/>
    <xf numFmtId="164" fontId="0" fillId="14" borderId="10" xfId="0" applyNumberFormat="1" applyFill="1" applyBorder="1" applyAlignment="1">
      <alignment horizontal="right" vertical="center"/>
    </xf>
    <xf numFmtId="0" fontId="0" fillId="15" borderId="17" xfId="0" applyFill="1" applyBorder="1"/>
    <xf numFmtId="164" fontId="0" fillId="15" borderId="18" xfId="0" applyNumberFormat="1" applyFill="1" applyBorder="1" applyAlignment="1">
      <alignment horizontal="right" vertical="center"/>
    </xf>
    <xf numFmtId="0" fontId="0" fillId="19" borderId="4" xfId="0" applyFill="1" applyBorder="1"/>
    <xf numFmtId="164" fontId="0" fillId="19" borderId="16" xfId="0" applyNumberFormat="1" applyFill="1" applyBorder="1" applyAlignment="1">
      <alignment horizontal="right" vertical="center"/>
    </xf>
    <xf numFmtId="0" fontId="0" fillId="19" borderId="6" xfId="0" applyFill="1" applyBorder="1"/>
    <xf numFmtId="164" fontId="0" fillId="19" borderId="10" xfId="0" applyNumberFormat="1" applyFill="1" applyBorder="1" applyAlignment="1">
      <alignment horizontal="right" vertical="center"/>
    </xf>
    <xf numFmtId="0" fontId="6" fillId="7" borderId="20" xfId="0" applyFont="1" applyFill="1" applyBorder="1" applyAlignment="1">
      <alignment horizontal="right"/>
    </xf>
    <xf numFmtId="0" fontId="6" fillId="7" borderId="28" xfId="0" applyFont="1" applyFill="1" applyBorder="1" applyAlignment="1">
      <alignment horizontal="right"/>
    </xf>
    <xf numFmtId="0" fontId="6" fillId="7" borderId="27" xfId="0" applyFont="1" applyFill="1" applyBorder="1" applyAlignment="1">
      <alignment horizontal="right"/>
    </xf>
    <xf numFmtId="0" fontId="8" fillId="12" borderId="0" xfId="0" applyFont="1" applyFill="1" applyAlignment="1">
      <alignment horizontal="center"/>
    </xf>
    <xf numFmtId="164" fontId="0" fillId="5" borderId="31" xfId="0" applyNumberFormat="1" applyFill="1" applyBorder="1" applyAlignment="1">
      <alignment horizontal="center" vertical="center"/>
    </xf>
    <xf numFmtId="164" fontId="0" fillId="5" borderId="33" xfId="0" applyNumberFormat="1" applyFill="1" applyBorder="1" applyAlignment="1">
      <alignment horizontal="center" vertical="center"/>
    </xf>
    <xf numFmtId="164" fontId="0" fillId="5" borderId="32" xfId="0" applyNumberFormat="1" applyFill="1" applyBorder="1" applyAlignment="1">
      <alignment horizontal="center" vertical="center"/>
    </xf>
    <xf numFmtId="164" fontId="0" fillId="8" borderId="31" xfId="0" applyNumberFormat="1" applyFill="1" applyBorder="1" applyAlignment="1">
      <alignment horizontal="center" vertical="center"/>
    </xf>
    <xf numFmtId="164" fontId="0" fillId="8" borderId="33" xfId="0" applyNumberFormat="1" applyFill="1" applyBorder="1" applyAlignment="1">
      <alignment horizontal="center" vertical="center"/>
    </xf>
    <xf numFmtId="164" fontId="0" fillId="8" borderId="32" xfId="0" applyNumberForma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 textRotation="90"/>
    </xf>
    <xf numFmtId="0" fontId="7" fillId="8" borderId="33" xfId="0" applyFont="1" applyFill="1" applyBorder="1" applyAlignment="1">
      <alignment horizontal="center" vertical="center" textRotation="90"/>
    </xf>
    <xf numFmtId="0" fontId="1" fillId="8" borderId="31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 textRotation="90"/>
    </xf>
    <xf numFmtId="0" fontId="7" fillId="5" borderId="33" xfId="0" applyFont="1" applyFill="1" applyBorder="1" applyAlignment="1">
      <alignment horizontal="center" vertical="center" textRotation="90"/>
    </xf>
    <xf numFmtId="0" fontId="7" fillId="5" borderId="32" xfId="0" applyFont="1" applyFill="1" applyBorder="1" applyAlignment="1">
      <alignment horizontal="center" vertical="center" textRotation="90"/>
    </xf>
    <xf numFmtId="164" fontId="0" fillId="11" borderId="22" xfId="0" applyNumberFormat="1" applyFill="1" applyBorder="1" applyAlignment="1">
      <alignment horizontal="center" vertical="center"/>
    </xf>
    <xf numFmtId="164" fontId="0" fillId="11" borderId="23" xfId="0" applyNumberFormat="1" applyFill="1" applyBorder="1" applyAlignment="1">
      <alignment horizontal="center" vertical="center"/>
    </xf>
    <xf numFmtId="164" fontId="0" fillId="11" borderId="24" xfId="0" applyNumberForma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1" fillId="15" borderId="8" xfId="0" applyFont="1" applyFill="1" applyBorder="1" applyAlignment="1">
      <alignment horizontal="center" vertical="center"/>
    </xf>
    <xf numFmtId="0" fontId="1" fillId="15" borderId="15" xfId="0" applyFont="1" applyFill="1" applyBorder="1" applyAlignment="1">
      <alignment horizontal="center" vertical="center"/>
    </xf>
    <xf numFmtId="164" fontId="0" fillId="15" borderId="31" xfId="0" applyNumberFormat="1" applyFill="1" applyBorder="1" applyAlignment="1">
      <alignment horizontal="center" vertical="center"/>
    </xf>
    <xf numFmtId="164" fontId="0" fillId="15" borderId="33" xfId="0" applyNumberFormat="1" applyFill="1" applyBorder="1" applyAlignment="1">
      <alignment horizontal="center" vertical="center"/>
    </xf>
    <xf numFmtId="164" fontId="0" fillId="15" borderId="32" xfId="0" applyNumberForma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164" fontId="0" fillId="5" borderId="22" xfId="0" applyNumberFormat="1" applyFill="1" applyBorder="1" applyAlignment="1">
      <alignment horizontal="center" vertical="center"/>
    </xf>
    <xf numFmtId="164" fontId="0" fillId="5" borderId="23" xfId="0" applyNumberFormat="1" applyFill="1" applyBorder="1" applyAlignment="1">
      <alignment horizontal="center" vertical="center"/>
    </xf>
    <xf numFmtId="164" fontId="0" fillId="5" borderId="24" xfId="0" applyNumberForma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164" fontId="0" fillId="7" borderId="31" xfId="0" applyNumberFormat="1" applyFill="1" applyBorder="1" applyAlignment="1">
      <alignment horizontal="center" vertical="center"/>
    </xf>
    <xf numFmtId="164" fontId="0" fillId="7" borderId="33" xfId="0" applyNumberFormat="1" applyFill="1" applyBorder="1" applyAlignment="1">
      <alignment horizontal="center" vertical="center"/>
    </xf>
    <xf numFmtId="164" fontId="0" fillId="7" borderId="32" xfId="0" applyNumberFormat="1" applyFill="1" applyBorder="1" applyAlignment="1">
      <alignment horizontal="center" vertical="center"/>
    </xf>
    <xf numFmtId="164" fontId="0" fillId="6" borderId="22" xfId="0" applyNumberFormat="1" applyFill="1" applyBorder="1" applyAlignment="1">
      <alignment horizontal="center" vertical="center"/>
    </xf>
    <xf numFmtId="164" fontId="0" fillId="6" borderId="23" xfId="0" applyNumberFormat="1" applyFill="1" applyBorder="1" applyAlignment="1">
      <alignment horizontal="center" vertical="center"/>
    </xf>
    <xf numFmtId="164" fontId="0" fillId="6" borderId="24" xfId="0" applyNumberForma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 wrapText="1"/>
    </xf>
    <xf numFmtId="0" fontId="1" fillId="11" borderId="8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164" fontId="0" fillId="10" borderId="31" xfId="0" applyNumberFormat="1" applyFill="1" applyBorder="1" applyAlignment="1">
      <alignment horizontal="center" vertical="center"/>
    </xf>
    <xf numFmtId="164" fontId="0" fillId="10" borderId="32" xfId="0" applyNumberFormat="1" applyFill="1" applyBorder="1" applyAlignment="1">
      <alignment horizontal="center" vertical="center"/>
    </xf>
    <xf numFmtId="0" fontId="1" fillId="14" borderId="31" xfId="0" applyFont="1" applyFill="1" applyBorder="1" applyAlignment="1">
      <alignment horizontal="center" vertical="center"/>
    </xf>
    <xf numFmtId="0" fontId="1" fillId="14" borderId="32" xfId="0" applyFont="1" applyFill="1" applyBorder="1" applyAlignment="1">
      <alignment horizontal="center" vertical="center"/>
    </xf>
    <xf numFmtId="164" fontId="0" fillId="14" borderId="31" xfId="0" applyNumberFormat="1" applyFill="1" applyBorder="1" applyAlignment="1">
      <alignment horizontal="center" vertical="center"/>
    </xf>
    <xf numFmtId="164" fontId="0" fillId="14" borderId="32" xfId="0" applyNumberFormat="1" applyFill="1" applyBorder="1" applyAlignment="1">
      <alignment horizontal="center" vertical="center"/>
    </xf>
    <xf numFmtId="0" fontId="1" fillId="19" borderId="31" xfId="0" applyFont="1" applyFill="1" applyBorder="1" applyAlignment="1">
      <alignment horizontal="center" vertical="center"/>
    </xf>
    <xf numFmtId="0" fontId="1" fillId="19" borderId="32" xfId="0" applyFont="1" applyFill="1" applyBorder="1" applyAlignment="1">
      <alignment horizontal="center" vertical="center"/>
    </xf>
    <xf numFmtId="164" fontId="0" fillId="19" borderId="31" xfId="0" applyNumberFormat="1" applyFill="1" applyBorder="1" applyAlignment="1">
      <alignment horizontal="center" vertical="center"/>
    </xf>
    <xf numFmtId="164" fontId="0" fillId="19" borderId="32" xfId="0" applyNumberForma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 textRotation="90" wrapText="1"/>
    </xf>
    <xf numFmtId="0" fontId="7" fillId="7" borderId="33" xfId="0" applyFont="1" applyFill="1" applyBorder="1" applyAlignment="1">
      <alignment horizontal="center" vertical="center" textRotation="90"/>
    </xf>
    <xf numFmtId="0" fontId="7" fillId="7" borderId="32" xfId="0" applyFont="1" applyFill="1" applyBorder="1" applyAlignment="1">
      <alignment horizontal="center" vertical="center" textRotation="90"/>
    </xf>
    <xf numFmtId="164" fontId="0" fillId="7" borderId="23" xfId="0" applyNumberForma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 textRotation="90" wrapText="1"/>
    </xf>
    <xf numFmtId="0" fontId="1" fillId="8" borderId="33" xfId="0" applyFont="1" applyFill="1" applyBorder="1" applyAlignment="1">
      <alignment horizontal="center" vertical="center" textRotation="90" wrapText="1"/>
    </xf>
    <xf numFmtId="0" fontId="1" fillId="8" borderId="32" xfId="0" applyFont="1" applyFill="1" applyBorder="1" applyAlignment="1">
      <alignment horizontal="center" vertical="center" textRotation="90" wrapText="1"/>
    </xf>
    <xf numFmtId="164" fontId="0" fillId="17" borderId="38" xfId="0" applyNumberFormat="1" applyFill="1" applyBorder="1" applyAlignment="1">
      <alignment horizontal="center" vertical="center"/>
    </xf>
    <xf numFmtId="164" fontId="0" fillId="17" borderId="40" xfId="0" applyNumberFormat="1" applyFill="1" applyBorder="1" applyAlignment="1">
      <alignment horizontal="center" vertical="center"/>
    </xf>
    <xf numFmtId="164" fontId="0" fillId="17" borderId="39" xfId="0" applyNumberForma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 textRotation="90" wrapText="1"/>
    </xf>
    <xf numFmtId="0" fontId="7" fillId="9" borderId="15" xfId="0" applyFont="1" applyFill="1" applyBorder="1" applyAlignment="1">
      <alignment horizontal="center" vertical="center" textRotation="90" wrapText="1"/>
    </xf>
    <xf numFmtId="164" fontId="0" fillId="6" borderId="31" xfId="0" applyNumberFormat="1" applyFill="1" applyBorder="1" applyAlignment="1">
      <alignment horizontal="center" vertical="center"/>
    </xf>
    <xf numFmtId="164" fontId="0" fillId="6" borderId="33" xfId="0" applyNumberFormat="1" applyFill="1" applyBorder="1" applyAlignment="1">
      <alignment horizontal="center" vertical="center"/>
    </xf>
    <xf numFmtId="164" fontId="0" fillId="18" borderId="31" xfId="0" applyNumberFormat="1" applyFill="1" applyBorder="1" applyAlignment="1">
      <alignment horizontal="center" vertical="center"/>
    </xf>
    <xf numFmtId="164" fontId="0" fillId="18" borderId="33" xfId="0" applyNumberFormat="1" applyFill="1" applyBorder="1" applyAlignment="1">
      <alignment horizontal="center" vertical="center"/>
    </xf>
    <xf numFmtId="164" fontId="0" fillId="18" borderId="32" xfId="0" applyNumberFormat="1" applyFill="1" applyBorder="1" applyAlignment="1">
      <alignment horizontal="center" vertical="center"/>
    </xf>
    <xf numFmtId="164" fontId="0" fillId="9" borderId="23" xfId="0" applyNumberFormat="1" applyFill="1" applyBorder="1" applyAlignment="1">
      <alignment horizontal="center"/>
    </xf>
    <xf numFmtId="164" fontId="0" fillId="9" borderId="24" xfId="0" applyNumberFormat="1" applyFill="1" applyBorder="1" applyAlignment="1">
      <alignment horizontal="center"/>
    </xf>
    <xf numFmtId="0" fontId="7" fillId="9" borderId="14" xfId="0" applyFont="1" applyFill="1" applyBorder="1" applyAlignment="1">
      <alignment horizontal="center" vertical="center" textRotation="90" wrapText="1"/>
    </xf>
    <xf numFmtId="0" fontId="7" fillId="17" borderId="31" xfId="0" applyFont="1" applyFill="1" applyBorder="1" applyAlignment="1">
      <alignment horizontal="center" vertical="center" textRotation="90" wrapText="1"/>
    </xf>
    <xf numFmtId="0" fontId="7" fillId="17" borderId="33" xfId="0" applyFont="1" applyFill="1" applyBorder="1" applyAlignment="1">
      <alignment horizontal="center" vertical="center" textRotation="90" wrapText="1"/>
    </xf>
    <xf numFmtId="0" fontId="7" fillId="17" borderId="32" xfId="0" applyFont="1" applyFill="1" applyBorder="1" applyAlignment="1">
      <alignment horizontal="center" vertical="center" textRotation="90" wrapText="1"/>
    </xf>
    <xf numFmtId="164" fontId="0" fillId="17" borderId="22" xfId="0" applyNumberFormat="1" applyFill="1" applyBorder="1" applyAlignment="1">
      <alignment horizontal="center" vertical="center"/>
    </xf>
    <xf numFmtId="164" fontId="0" fillId="17" borderId="23" xfId="0" applyNumberFormat="1" applyFill="1" applyBorder="1" applyAlignment="1">
      <alignment horizontal="center" vertical="center"/>
    </xf>
    <xf numFmtId="164" fontId="0" fillId="17" borderId="24" xfId="0" applyNumberForma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 textRotation="90" wrapText="1"/>
    </xf>
    <xf numFmtId="0" fontId="1" fillId="7" borderId="33" xfId="0" applyFont="1" applyFill="1" applyBorder="1" applyAlignment="1">
      <alignment horizontal="center" vertical="center" textRotation="90" wrapText="1"/>
    </xf>
    <xf numFmtId="0" fontId="1" fillId="7" borderId="32" xfId="0" applyFont="1" applyFill="1" applyBorder="1" applyAlignment="1">
      <alignment horizontal="center" vertical="center" textRotation="90" wrapText="1"/>
    </xf>
    <xf numFmtId="164" fontId="0" fillId="8" borderId="22" xfId="0" applyNumberFormat="1" applyFill="1" applyBorder="1" applyAlignment="1">
      <alignment horizontal="center" vertical="center"/>
    </xf>
    <xf numFmtId="164" fontId="0" fillId="8" borderId="23" xfId="0" applyNumberFormat="1" applyFill="1" applyBorder="1" applyAlignment="1">
      <alignment horizontal="center" vertical="center"/>
    </xf>
    <xf numFmtId="164" fontId="0" fillId="18" borderId="22" xfId="0" applyNumberFormat="1" applyFill="1" applyBorder="1" applyAlignment="1">
      <alignment horizontal="center" vertical="center"/>
    </xf>
    <xf numFmtId="164" fontId="0" fillId="18" borderId="23" xfId="0" applyNumberForma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 textRotation="90" wrapText="1"/>
    </xf>
    <xf numFmtId="0" fontId="1" fillId="5" borderId="8" xfId="0" applyFont="1" applyFill="1" applyBorder="1" applyAlignment="1">
      <alignment horizontal="center" vertical="center" textRotation="90" wrapText="1"/>
    </xf>
    <xf numFmtId="0" fontId="1" fillId="5" borderId="15" xfId="0" applyFont="1" applyFill="1" applyBorder="1" applyAlignment="1">
      <alignment horizontal="center" vertical="center" textRotation="90" wrapText="1"/>
    </xf>
    <xf numFmtId="0" fontId="7" fillId="8" borderId="14" xfId="0" applyFont="1" applyFill="1" applyBorder="1" applyAlignment="1">
      <alignment horizontal="center" vertical="center" textRotation="90" wrapText="1"/>
    </xf>
    <xf numFmtId="0" fontId="7" fillId="8" borderId="8" xfId="0" applyFont="1" applyFill="1" applyBorder="1" applyAlignment="1">
      <alignment horizontal="center" vertical="center" textRotation="90" wrapText="1"/>
    </xf>
    <xf numFmtId="164" fontId="0" fillId="18" borderId="24" xfId="0" applyNumberFormat="1" applyFill="1" applyBorder="1" applyAlignment="1">
      <alignment horizontal="center" vertical="center"/>
    </xf>
    <xf numFmtId="0" fontId="7" fillId="18" borderId="31" xfId="0" applyFont="1" applyFill="1" applyBorder="1" applyAlignment="1">
      <alignment horizontal="center" vertical="center" textRotation="90" wrapText="1"/>
    </xf>
    <xf numFmtId="0" fontId="7" fillId="18" borderId="33" xfId="0" applyFont="1" applyFill="1" applyBorder="1" applyAlignment="1">
      <alignment horizontal="center" vertical="center" textRotation="90" wrapText="1"/>
    </xf>
    <xf numFmtId="0" fontId="7" fillId="18" borderId="32" xfId="0" applyFont="1" applyFill="1" applyBorder="1" applyAlignment="1">
      <alignment horizontal="center" vertical="center" textRotation="90" wrapText="1"/>
    </xf>
    <xf numFmtId="0" fontId="7" fillId="9" borderId="31" xfId="0" applyFont="1" applyFill="1" applyBorder="1" applyAlignment="1">
      <alignment horizontal="center" vertical="center" textRotation="90" wrapText="1"/>
    </xf>
    <xf numFmtId="0" fontId="7" fillId="9" borderId="33" xfId="0" applyFont="1" applyFill="1" applyBorder="1" applyAlignment="1">
      <alignment horizontal="center" vertical="center" textRotation="90" wrapText="1"/>
    </xf>
    <xf numFmtId="0" fontId="0" fillId="7" borderId="17" xfId="0" applyFill="1" applyBorder="1"/>
    <xf numFmtId="164" fontId="0" fillId="7" borderId="18" xfId="0" applyNumberFormat="1" applyFill="1" applyBorder="1" applyAlignment="1">
      <alignment horizontal="right" vertical="center"/>
    </xf>
    <xf numFmtId="164" fontId="0" fillId="6" borderId="18" xfId="0" applyNumberFormat="1" applyFill="1" applyBorder="1" applyAlignment="1">
      <alignment horizontal="right" vertical="center"/>
    </xf>
    <xf numFmtId="0" fontId="10" fillId="17" borderId="12" xfId="0" applyFont="1" applyFill="1" applyBorder="1"/>
    <xf numFmtId="164" fontId="10" fillId="17" borderId="41" xfId="0" applyNumberFormat="1" applyFont="1" applyFill="1" applyBorder="1"/>
    <xf numFmtId="164" fontId="0" fillId="17" borderId="42" xfId="0" applyNumberFormat="1" applyFill="1" applyBorder="1" applyAlignment="1">
      <alignment horizontal="center" vertical="center"/>
    </xf>
    <xf numFmtId="0" fontId="10" fillId="17" borderId="17" xfId="0" applyFont="1" applyFill="1" applyBorder="1"/>
    <xf numFmtId="164" fontId="10" fillId="17" borderId="21" xfId="0" applyNumberFormat="1" applyFont="1" applyFill="1" applyBorder="1"/>
    <xf numFmtId="164" fontId="0" fillId="17" borderId="43" xfId="0" applyNumberFormat="1" applyFill="1" applyBorder="1" applyAlignment="1">
      <alignment horizontal="center" vertical="center"/>
    </xf>
    <xf numFmtId="164" fontId="0" fillId="7" borderId="18" xfId="0" applyNumberFormat="1" applyFill="1" applyBorder="1"/>
    <xf numFmtId="0" fontId="1" fillId="19" borderId="33" xfId="0" applyFont="1" applyFill="1" applyBorder="1" applyAlignment="1">
      <alignment horizontal="center" vertical="center"/>
    </xf>
    <xf numFmtId="164" fontId="0" fillId="19" borderId="33" xfId="0" applyNumberFormat="1" applyFill="1" applyBorder="1" applyAlignment="1">
      <alignment horizontal="center" vertical="center"/>
    </xf>
    <xf numFmtId="0" fontId="0" fillId="19" borderId="5" xfId="0" applyFill="1" applyBorder="1"/>
    <xf numFmtId="164" fontId="0" fillId="19" borderId="9" xfId="0" applyNumberFormat="1" applyFill="1" applyBorder="1" applyAlignment="1">
      <alignment horizontal="right" vertical="center"/>
    </xf>
    <xf numFmtId="0" fontId="1" fillId="20" borderId="31" xfId="0" applyFont="1" applyFill="1" applyBorder="1" applyAlignment="1">
      <alignment horizontal="center" vertical="center"/>
    </xf>
    <xf numFmtId="0" fontId="0" fillId="20" borderId="4" xfId="0" applyFill="1" applyBorder="1"/>
    <xf numFmtId="164" fontId="0" fillId="20" borderId="16" xfId="0" applyNumberFormat="1" applyFill="1" applyBorder="1" applyAlignment="1">
      <alignment horizontal="right" vertical="center"/>
    </xf>
    <xf numFmtId="164" fontId="0" fillId="20" borderId="31" xfId="0" applyNumberFormat="1" applyFill="1" applyBorder="1" applyAlignment="1">
      <alignment horizontal="center" vertical="center"/>
    </xf>
    <xf numFmtId="0" fontId="1" fillId="20" borderId="33" xfId="0" applyFont="1" applyFill="1" applyBorder="1" applyAlignment="1">
      <alignment horizontal="center" vertical="center"/>
    </xf>
    <xf numFmtId="0" fontId="0" fillId="20" borderId="5" xfId="0" applyFill="1" applyBorder="1"/>
    <xf numFmtId="164" fontId="0" fillId="20" borderId="9" xfId="0" applyNumberFormat="1" applyFill="1" applyBorder="1" applyAlignment="1">
      <alignment horizontal="right" vertical="center"/>
    </xf>
    <xf numFmtId="164" fontId="0" fillId="20" borderId="33" xfId="0" applyNumberFormat="1" applyFill="1" applyBorder="1" applyAlignment="1">
      <alignment horizontal="center" vertical="center"/>
    </xf>
    <xf numFmtId="0" fontId="1" fillId="20" borderId="32" xfId="0" applyFont="1" applyFill="1" applyBorder="1" applyAlignment="1">
      <alignment horizontal="center" vertical="center"/>
    </xf>
    <xf numFmtId="0" fontId="0" fillId="20" borderId="6" xfId="0" applyFill="1" applyBorder="1"/>
    <xf numFmtId="164" fontId="0" fillId="20" borderId="10" xfId="0" applyNumberFormat="1" applyFill="1" applyBorder="1" applyAlignment="1">
      <alignment horizontal="right" vertical="center"/>
    </xf>
    <xf numFmtId="164" fontId="0" fillId="20" borderId="32" xfId="0" applyNumberFormat="1" applyFill="1" applyBorder="1" applyAlignment="1">
      <alignment horizontal="center" vertical="center"/>
    </xf>
    <xf numFmtId="164" fontId="0" fillId="16" borderId="31" xfId="0" applyNumberFormat="1" applyFill="1" applyBorder="1" applyAlignment="1">
      <alignment horizontal="center" vertical="center"/>
    </xf>
    <xf numFmtId="164" fontId="0" fillId="16" borderId="33" xfId="0" applyNumberForma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164" fontId="10" fillId="4" borderId="3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80"/>
  <sheetViews>
    <sheetView topLeftCell="A51" workbookViewId="0">
      <selection activeCell="G79" sqref="G79"/>
    </sheetView>
  </sheetViews>
  <sheetFormatPr baseColWidth="10" defaultRowHeight="15" x14ac:dyDescent="0.25"/>
  <cols>
    <col min="1" max="1" width="5.7109375" customWidth="1"/>
    <col min="2" max="2" width="3.85546875" bestFit="1" customWidth="1"/>
    <col min="3" max="3" width="15.7109375" bestFit="1" customWidth="1"/>
    <col min="4" max="4" width="44.42578125" bestFit="1" customWidth="1"/>
    <col min="7" max="7" width="14.42578125" bestFit="1" customWidth="1"/>
  </cols>
  <sheetData>
    <row r="2" spans="2:11" ht="26.25" x14ac:dyDescent="0.4">
      <c r="B2" s="140" t="s">
        <v>76</v>
      </c>
      <c r="C2" s="140"/>
      <c r="D2" s="140"/>
      <c r="E2" s="140"/>
      <c r="F2" s="140"/>
      <c r="G2" s="140"/>
    </row>
    <row r="3" spans="2:11" ht="15.75" thickBot="1" x14ac:dyDescent="0.3"/>
    <row r="4" spans="2:11" ht="15.75" thickBot="1" x14ac:dyDescent="0.3">
      <c r="B4" s="6"/>
      <c r="C4" s="6"/>
      <c r="D4" s="7" t="s">
        <v>35</v>
      </c>
      <c r="E4" s="16" t="s">
        <v>36</v>
      </c>
      <c r="F4" s="66" t="s">
        <v>49</v>
      </c>
      <c r="G4" s="66" t="s">
        <v>49</v>
      </c>
      <c r="I4" s="70" t="s">
        <v>61</v>
      </c>
      <c r="J4" s="71"/>
      <c r="K4" s="72"/>
    </row>
    <row r="5" spans="2:11" ht="15" customHeight="1" x14ac:dyDescent="0.25">
      <c r="B5" s="147" t="s">
        <v>50</v>
      </c>
      <c r="C5" s="149" t="s">
        <v>45</v>
      </c>
      <c r="D5" s="31" t="s">
        <v>69</v>
      </c>
      <c r="E5" s="33">
        <v>26.93</v>
      </c>
      <c r="F5" s="144">
        <f>SUM(E5:E13)</f>
        <v>415.07</v>
      </c>
      <c r="G5" s="267">
        <f>SUM(F5:F66)</f>
        <v>3070.4166666666665</v>
      </c>
      <c r="I5" s="3" t="s">
        <v>6</v>
      </c>
      <c r="J5" s="3" t="s">
        <v>7</v>
      </c>
      <c r="K5" s="3" t="s">
        <v>8</v>
      </c>
    </row>
    <row r="6" spans="2:11" x14ac:dyDescent="0.25">
      <c r="B6" s="148"/>
      <c r="C6" s="150"/>
      <c r="D6" s="32" t="s">
        <v>70</v>
      </c>
      <c r="E6" s="34">
        <v>21.06</v>
      </c>
      <c r="F6" s="145"/>
      <c r="G6" s="268"/>
      <c r="I6" s="124">
        <f>39.92+8.25</f>
        <v>48.17</v>
      </c>
      <c r="J6" s="125">
        <v>0.2</v>
      </c>
      <c r="K6" s="126">
        <f>ROUND(I6+(I6*J6),2)</f>
        <v>57.8</v>
      </c>
    </row>
    <row r="7" spans="2:11" x14ac:dyDescent="0.25">
      <c r="B7" s="148"/>
      <c r="C7" s="150"/>
      <c r="D7" s="32" t="s">
        <v>17</v>
      </c>
      <c r="E7" s="34">
        <v>2.7</v>
      </c>
      <c r="F7" s="145"/>
      <c r="G7" s="268"/>
    </row>
    <row r="8" spans="2:11" x14ac:dyDescent="0.25">
      <c r="B8" s="148"/>
      <c r="C8" s="150"/>
      <c r="D8" s="32" t="s">
        <v>111</v>
      </c>
      <c r="E8" s="34">
        <v>30.86</v>
      </c>
      <c r="F8" s="145"/>
      <c r="G8" s="268"/>
    </row>
    <row r="9" spans="2:11" x14ac:dyDescent="0.25">
      <c r="B9" s="148"/>
      <c r="C9" s="150"/>
      <c r="D9" s="32" t="s">
        <v>20</v>
      </c>
      <c r="E9" s="34">
        <f>39.9*2</f>
        <v>79.8</v>
      </c>
      <c r="F9" s="145"/>
      <c r="G9" s="268"/>
    </row>
    <row r="10" spans="2:11" x14ac:dyDescent="0.25">
      <c r="B10" s="148"/>
      <c r="C10" s="150"/>
      <c r="D10" s="32" t="s">
        <v>21</v>
      </c>
      <c r="E10" s="34">
        <v>50.4</v>
      </c>
      <c r="F10" s="145"/>
      <c r="G10" s="268"/>
    </row>
    <row r="11" spans="2:11" x14ac:dyDescent="0.25">
      <c r="B11" s="148"/>
      <c r="C11" s="150"/>
      <c r="D11" s="32" t="s">
        <v>68</v>
      </c>
      <c r="E11" s="34">
        <v>11.54</v>
      </c>
      <c r="F11" s="145"/>
      <c r="G11" s="268"/>
    </row>
    <row r="12" spans="2:11" x14ac:dyDescent="0.25">
      <c r="B12" s="148"/>
      <c r="C12" s="150"/>
      <c r="D12" s="74" t="s">
        <v>132</v>
      </c>
      <c r="E12" s="34">
        <v>39.409999999999997</v>
      </c>
      <c r="F12" s="145"/>
      <c r="G12" s="268"/>
    </row>
    <row r="13" spans="2:11" ht="15.75" thickBot="1" x14ac:dyDescent="0.3">
      <c r="B13" s="148"/>
      <c r="C13" s="151"/>
      <c r="D13" s="74" t="s">
        <v>67</v>
      </c>
      <c r="E13" s="85">
        <v>152.37</v>
      </c>
      <c r="F13" s="146"/>
      <c r="G13" s="268"/>
    </row>
    <row r="14" spans="2:11" x14ac:dyDescent="0.25">
      <c r="B14" s="148"/>
      <c r="C14" s="166" t="s">
        <v>46</v>
      </c>
      <c r="D14" s="10" t="s">
        <v>71</v>
      </c>
      <c r="E14" s="35">
        <v>39.99</v>
      </c>
      <c r="F14" s="169">
        <f>SUM(E14:E20)</f>
        <v>285.32</v>
      </c>
      <c r="G14" s="268"/>
    </row>
    <row r="15" spans="2:11" x14ac:dyDescent="0.25">
      <c r="B15" s="148"/>
      <c r="C15" s="167"/>
      <c r="D15" s="11" t="s">
        <v>117</v>
      </c>
      <c r="E15" s="36">
        <v>49.9</v>
      </c>
      <c r="F15" s="170"/>
      <c r="G15" s="268"/>
    </row>
    <row r="16" spans="2:11" x14ac:dyDescent="0.25">
      <c r="B16" s="148"/>
      <c r="C16" s="167"/>
      <c r="D16" s="11" t="s">
        <v>10</v>
      </c>
      <c r="E16" s="36">
        <v>127</v>
      </c>
      <c r="F16" s="170"/>
      <c r="G16" s="268"/>
      <c r="K16" s="27"/>
    </row>
    <row r="17" spans="2:11" x14ac:dyDescent="0.25">
      <c r="B17" s="148"/>
      <c r="C17" s="167"/>
      <c r="D17" s="11" t="s">
        <v>77</v>
      </c>
      <c r="E17" s="36">
        <v>6.89</v>
      </c>
      <c r="F17" s="170"/>
      <c r="G17" s="268"/>
      <c r="K17" s="27"/>
    </row>
    <row r="18" spans="2:11" x14ac:dyDescent="0.25">
      <c r="B18" s="148"/>
      <c r="C18" s="167"/>
      <c r="D18" s="11" t="s">
        <v>135</v>
      </c>
      <c r="E18" s="36">
        <f>16.33+5.44</f>
        <v>21.77</v>
      </c>
      <c r="F18" s="170"/>
      <c r="G18" s="268"/>
      <c r="K18" s="27"/>
    </row>
    <row r="19" spans="2:11" x14ac:dyDescent="0.25">
      <c r="B19" s="148"/>
      <c r="C19" s="167"/>
      <c r="D19" s="11" t="s">
        <v>66</v>
      </c>
      <c r="E19" s="86">
        <f>22.89+1.56</f>
        <v>24.45</v>
      </c>
      <c r="F19" s="170"/>
      <c r="G19" s="268"/>
    </row>
    <row r="20" spans="2:11" ht="15.75" thickBot="1" x14ac:dyDescent="0.3">
      <c r="B20" s="148"/>
      <c r="C20" s="168"/>
      <c r="D20" s="73" t="s">
        <v>114</v>
      </c>
      <c r="E20" s="87">
        <f>11.02+4.3</f>
        <v>15.32</v>
      </c>
      <c r="F20" s="171"/>
      <c r="G20" s="268"/>
    </row>
    <row r="21" spans="2:11" ht="15" customHeight="1" x14ac:dyDescent="0.25">
      <c r="B21" s="148"/>
      <c r="C21" s="172" t="s">
        <v>118</v>
      </c>
      <c r="D21" s="37" t="s">
        <v>72</v>
      </c>
      <c r="E21" s="38">
        <v>67.5</v>
      </c>
      <c r="F21" s="175">
        <f>SUM(E21:E27)</f>
        <v>210.31999999999996</v>
      </c>
      <c r="G21" s="268"/>
    </row>
    <row r="22" spans="2:11" x14ac:dyDescent="0.25">
      <c r="B22" s="148"/>
      <c r="C22" s="173"/>
      <c r="D22" s="23" t="s">
        <v>121</v>
      </c>
      <c r="E22" s="88">
        <f>19.9+5.9</f>
        <v>25.799999999999997</v>
      </c>
      <c r="F22" s="176"/>
      <c r="G22" s="268"/>
    </row>
    <row r="23" spans="2:11" x14ac:dyDescent="0.25">
      <c r="B23" s="148"/>
      <c r="C23" s="173"/>
      <c r="D23" s="23" t="s">
        <v>120</v>
      </c>
      <c r="E23" s="88">
        <v>79.900000000000006</v>
      </c>
      <c r="F23" s="176"/>
      <c r="G23" s="268"/>
    </row>
    <row r="24" spans="2:11" x14ac:dyDescent="0.25">
      <c r="B24" s="148"/>
      <c r="C24" s="173"/>
      <c r="D24" s="23" t="s">
        <v>73</v>
      </c>
      <c r="E24" s="88">
        <v>7.7</v>
      </c>
      <c r="F24" s="176"/>
      <c r="G24" s="268"/>
    </row>
    <row r="25" spans="2:11" x14ac:dyDescent="0.25">
      <c r="B25" s="148"/>
      <c r="C25" s="173"/>
      <c r="D25" s="241" t="s">
        <v>170</v>
      </c>
      <c r="E25" s="242">
        <f>9.98+3.77</f>
        <v>13.75</v>
      </c>
      <c r="F25" s="176"/>
      <c r="G25" s="268"/>
    </row>
    <row r="26" spans="2:11" x14ac:dyDescent="0.25">
      <c r="B26" s="148"/>
      <c r="C26" s="173"/>
      <c r="D26" s="241" t="s">
        <v>134</v>
      </c>
      <c r="E26" s="242">
        <v>15.67</v>
      </c>
      <c r="F26" s="176"/>
      <c r="G26" s="268"/>
    </row>
    <row r="27" spans="2:11" ht="15.75" thickBot="1" x14ac:dyDescent="0.3">
      <c r="B27" s="148"/>
      <c r="C27" s="174"/>
      <c r="D27" s="15" t="s">
        <v>152</v>
      </c>
      <c r="E27" s="39"/>
      <c r="F27" s="177"/>
      <c r="G27" s="268"/>
    </row>
    <row r="28" spans="2:11" x14ac:dyDescent="0.25">
      <c r="B28" s="148"/>
      <c r="C28" s="152" t="s">
        <v>56</v>
      </c>
      <c r="D28" s="89" t="s">
        <v>137</v>
      </c>
      <c r="E28" s="90">
        <f>8.12+6.55+24.51+24.51+22.94+5.44</f>
        <v>92.07</v>
      </c>
      <c r="F28" s="187">
        <f>SUM(E28:E29)</f>
        <v>100.58</v>
      </c>
      <c r="G28" s="268"/>
    </row>
    <row r="29" spans="2:11" ht="15.75" thickBot="1" x14ac:dyDescent="0.3">
      <c r="B29" s="148"/>
      <c r="C29" s="153"/>
      <c r="D29" s="91" t="s">
        <v>138</v>
      </c>
      <c r="E29" s="92">
        <v>8.51</v>
      </c>
      <c r="F29" s="188"/>
      <c r="G29" s="268"/>
    </row>
    <row r="30" spans="2:11" x14ac:dyDescent="0.25">
      <c r="B30" s="148"/>
      <c r="C30" s="181" t="s">
        <v>47</v>
      </c>
      <c r="D30" s="13" t="s">
        <v>9</v>
      </c>
      <c r="E30" s="40">
        <f>44.1+9.9</f>
        <v>54</v>
      </c>
      <c r="F30" s="178">
        <f>SUM(E30:E41)</f>
        <v>669.15</v>
      </c>
      <c r="G30" s="268"/>
    </row>
    <row r="31" spans="2:11" x14ac:dyDescent="0.25">
      <c r="B31" s="148"/>
      <c r="C31" s="182"/>
      <c r="D31" s="122" t="s">
        <v>147</v>
      </c>
      <c r="E31" s="123">
        <f>15+9.99+7.88</f>
        <v>32.870000000000005</v>
      </c>
      <c r="F31" s="179"/>
      <c r="G31" s="268"/>
    </row>
    <row r="32" spans="2:11" x14ac:dyDescent="0.25">
      <c r="B32" s="148"/>
      <c r="C32" s="182"/>
      <c r="D32" s="122" t="s">
        <v>143</v>
      </c>
      <c r="E32" s="123">
        <v>370.7</v>
      </c>
      <c r="F32" s="179"/>
      <c r="G32" s="268"/>
    </row>
    <row r="33" spans="2:7" x14ac:dyDescent="0.25">
      <c r="B33" s="148"/>
      <c r="C33" s="182"/>
      <c r="D33" s="14" t="s">
        <v>19</v>
      </c>
      <c r="E33" s="41">
        <v>6.2</v>
      </c>
      <c r="F33" s="179"/>
      <c r="G33" s="268"/>
    </row>
    <row r="34" spans="2:7" x14ac:dyDescent="0.25">
      <c r="B34" s="148"/>
      <c r="C34" s="182"/>
      <c r="D34" s="14" t="s">
        <v>31</v>
      </c>
      <c r="E34" s="41">
        <v>7.01</v>
      </c>
      <c r="F34" s="179"/>
      <c r="G34" s="268"/>
    </row>
    <row r="35" spans="2:7" x14ac:dyDescent="0.25">
      <c r="B35" s="148"/>
      <c r="C35" s="182"/>
      <c r="D35" s="14" t="s">
        <v>78</v>
      </c>
      <c r="E35" s="41">
        <v>39</v>
      </c>
      <c r="F35" s="179"/>
      <c r="G35" s="268"/>
    </row>
    <row r="36" spans="2:7" x14ac:dyDescent="0.25">
      <c r="B36" s="148"/>
      <c r="C36" s="182"/>
      <c r="D36" s="14" t="s">
        <v>100</v>
      </c>
      <c r="E36" s="41">
        <f>19.9+13.625</f>
        <v>33.524999999999999</v>
      </c>
      <c r="F36" s="179"/>
      <c r="G36" s="268"/>
    </row>
    <row r="37" spans="2:7" x14ac:dyDescent="0.25">
      <c r="B37" s="148"/>
      <c r="C37" s="182"/>
      <c r="D37" s="14" t="s">
        <v>101</v>
      </c>
      <c r="E37" s="41">
        <f>59.9+13.625</f>
        <v>73.525000000000006</v>
      </c>
      <c r="F37" s="179"/>
      <c r="G37" s="268"/>
    </row>
    <row r="38" spans="2:7" x14ac:dyDescent="0.25">
      <c r="B38" s="148"/>
      <c r="C38" s="182"/>
      <c r="D38" s="14" t="s">
        <v>15</v>
      </c>
      <c r="E38" s="41">
        <v>12.1</v>
      </c>
      <c r="F38" s="179"/>
      <c r="G38" s="268"/>
    </row>
    <row r="39" spans="2:7" x14ac:dyDescent="0.25">
      <c r="B39" s="148"/>
      <c r="C39" s="182"/>
      <c r="D39" s="14" t="s">
        <v>129</v>
      </c>
      <c r="E39" s="41">
        <v>9.99</v>
      </c>
      <c r="F39" s="179"/>
      <c r="G39" s="268"/>
    </row>
    <row r="40" spans="2:7" x14ac:dyDescent="0.25">
      <c r="B40" s="148"/>
      <c r="C40" s="182"/>
      <c r="D40" s="46" t="s">
        <v>139</v>
      </c>
      <c r="E40" s="243">
        <f>9.24</f>
        <v>9.24</v>
      </c>
      <c r="F40" s="179"/>
      <c r="G40" s="268"/>
    </row>
    <row r="41" spans="2:7" ht="15.75" thickBot="1" x14ac:dyDescent="0.3">
      <c r="B41" s="148"/>
      <c r="C41" s="183"/>
      <c r="D41" s="83" t="s">
        <v>153</v>
      </c>
      <c r="E41" s="84">
        <f>12.98+8.01</f>
        <v>20.990000000000002</v>
      </c>
      <c r="F41" s="180"/>
      <c r="G41" s="268"/>
    </row>
    <row r="42" spans="2:7" x14ac:dyDescent="0.25">
      <c r="B42" s="148"/>
      <c r="C42" s="193" t="s">
        <v>145</v>
      </c>
      <c r="D42" s="133" t="s">
        <v>145</v>
      </c>
      <c r="E42" s="134">
        <f>119.99+21.89</f>
        <v>141.88</v>
      </c>
      <c r="F42" s="195">
        <f>SUM(E42:E46)</f>
        <v>215.53</v>
      </c>
      <c r="G42" s="268"/>
    </row>
    <row r="43" spans="2:7" x14ac:dyDescent="0.25">
      <c r="B43" s="148"/>
      <c r="C43" s="251"/>
      <c r="D43" s="253" t="s">
        <v>168</v>
      </c>
      <c r="E43" s="254">
        <v>17.82</v>
      </c>
      <c r="F43" s="252"/>
      <c r="G43" s="268"/>
    </row>
    <row r="44" spans="2:7" x14ac:dyDescent="0.25">
      <c r="B44" s="148"/>
      <c r="C44" s="251"/>
      <c r="D44" s="253" t="s">
        <v>171</v>
      </c>
      <c r="E44" s="254">
        <v>10.6</v>
      </c>
      <c r="F44" s="252"/>
      <c r="G44" s="268"/>
    </row>
    <row r="45" spans="2:7" x14ac:dyDescent="0.25">
      <c r="B45" s="148"/>
      <c r="C45" s="251"/>
      <c r="D45" s="253" t="s">
        <v>169</v>
      </c>
      <c r="E45" s="254">
        <f>26.91+6.99</f>
        <v>33.9</v>
      </c>
      <c r="F45" s="252"/>
      <c r="G45" s="268"/>
    </row>
    <row r="46" spans="2:7" ht="15.75" thickBot="1" x14ac:dyDescent="0.3">
      <c r="B46" s="148"/>
      <c r="C46" s="194"/>
      <c r="D46" s="135" t="s">
        <v>146</v>
      </c>
      <c r="E46" s="136">
        <f>22.66/2</f>
        <v>11.33</v>
      </c>
      <c r="F46" s="196"/>
      <c r="G46" s="268"/>
    </row>
    <row r="47" spans="2:7" x14ac:dyDescent="0.25">
      <c r="B47" s="148"/>
      <c r="C47" s="189" t="s">
        <v>112</v>
      </c>
      <c r="D47" s="127" t="s">
        <v>113</v>
      </c>
      <c r="E47" s="128">
        <f>13.3+11.9+4.3</f>
        <v>29.500000000000004</v>
      </c>
      <c r="F47" s="191">
        <f>SUM(E47:E48)</f>
        <v>87.3</v>
      </c>
      <c r="G47" s="268"/>
    </row>
    <row r="48" spans="2:7" ht="15.75" thickBot="1" x14ac:dyDescent="0.3">
      <c r="B48" s="148"/>
      <c r="C48" s="190"/>
      <c r="D48" s="129" t="s">
        <v>144</v>
      </c>
      <c r="E48" s="130">
        <v>57.8</v>
      </c>
      <c r="F48" s="192"/>
      <c r="G48" s="268"/>
    </row>
    <row r="49" spans="2:8" ht="15" customHeight="1" x14ac:dyDescent="0.25">
      <c r="B49" s="148"/>
      <c r="C49" s="184" t="s">
        <v>63</v>
      </c>
      <c r="D49" s="42" t="s">
        <v>62</v>
      </c>
      <c r="E49" s="43">
        <v>80</v>
      </c>
      <c r="F49" s="157">
        <f>SUM(E49:E57)</f>
        <v>369.37</v>
      </c>
      <c r="G49" s="268"/>
      <c r="H49" s="17"/>
    </row>
    <row r="50" spans="2:8" x14ac:dyDescent="0.25">
      <c r="B50" s="148"/>
      <c r="C50" s="185"/>
      <c r="D50" s="44" t="s">
        <v>25</v>
      </c>
      <c r="E50" s="45">
        <v>30.1</v>
      </c>
      <c r="F50" s="158"/>
      <c r="G50" s="268"/>
    </row>
    <row r="51" spans="2:8" x14ac:dyDescent="0.25">
      <c r="B51" s="148"/>
      <c r="C51" s="185"/>
      <c r="D51" s="44" t="s">
        <v>80</v>
      </c>
      <c r="E51" s="45">
        <f>5.9+4.2</f>
        <v>10.100000000000001</v>
      </c>
      <c r="F51" s="158"/>
      <c r="G51" s="268"/>
    </row>
    <row r="52" spans="2:8" x14ac:dyDescent="0.25">
      <c r="B52" s="148"/>
      <c r="C52" s="185"/>
      <c r="D52" s="44" t="s">
        <v>102</v>
      </c>
      <c r="E52" s="45">
        <f>49.9*2+(13.625*2)</f>
        <v>127.05</v>
      </c>
      <c r="F52" s="158"/>
      <c r="G52" s="268"/>
    </row>
    <row r="53" spans="2:8" x14ac:dyDescent="0.25">
      <c r="B53" s="148"/>
      <c r="C53" s="185"/>
      <c r="D53" s="44" t="s">
        <v>14</v>
      </c>
      <c r="E53" s="45">
        <v>43.68</v>
      </c>
      <c r="F53" s="158"/>
      <c r="G53" s="268"/>
    </row>
    <row r="54" spans="2:8" x14ac:dyDescent="0.25">
      <c r="B54" s="148"/>
      <c r="C54" s="185"/>
      <c r="D54" s="44" t="s">
        <v>108</v>
      </c>
      <c r="E54" s="45">
        <v>11.9</v>
      </c>
      <c r="F54" s="158"/>
      <c r="G54" s="268"/>
    </row>
    <row r="55" spans="2:8" x14ac:dyDescent="0.25">
      <c r="B55" s="148"/>
      <c r="C55" s="185"/>
      <c r="D55" s="44" t="s">
        <v>136</v>
      </c>
      <c r="E55" s="45">
        <f>20.48+5.44</f>
        <v>25.92</v>
      </c>
      <c r="F55" s="158"/>
      <c r="G55" s="268"/>
    </row>
    <row r="56" spans="2:8" x14ac:dyDescent="0.25">
      <c r="B56" s="148"/>
      <c r="C56" s="185"/>
      <c r="D56" s="44" t="s">
        <v>141</v>
      </c>
      <c r="E56" s="45">
        <v>15.51</v>
      </c>
      <c r="F56" s="158"/>
      <c r="G56" s="268"/>
    </row>
    <row r="57" spans="2:8" ht="15.75" thickBot="1" x14ac:dyDescent="0.3">
      <c r="B57" s="148"/>
      <c r="C57" s="186"/>
      <c r="D57" s="93" t="s">
        <v>154</v>
      </c>
      <c r="E57" s="94">
        <f>9+16.11</f>
        <v>25.11</v>
      </c>
      <c r="F57" s="159"/>
      <c r="G57" s="268"/>
    </row>
    <row r="58" spans="2:8" x14ac:dyDescent="0.25">
      <c r="B58" s="148"/>
      <c r="C58" s="160" t="s">
        <v>115</v>
      </c>
      <c r="D58" s="95" t="s">
        <v>116</v>
      </c>
      <c r="E58" s="96">
        <f>25.84+4.3</f>
        <v>30.14</v>
      </c>
      <c r="F58" s="163">
        <f>SUM(E58:E62)</f>
        <v>253.55</v>
      </c>
      <c r="G58" s="268"/>
    </row>
    <row r="59" spans="2:8" x14ac:dyDescent="0.25">
      <c r="B59" s="148"/>
      <c r="C59" s="161"/>
      <c r="D59" s="97" t="s">
        <v>119</v>
      </c>
      <c r="E59" s="98">
        <v>9.9</v>
      </c>
      <c r="F59" s="164"/>
      <c r="G59" s="268"/>
    </row>
    <row r="60" spans="2:8" x14ac:dyDescent="0.25">
      <c r="B60" s="148"/>
      <c r="C60" s="161"/>
      <c r="D60" s="131" t="s">
        <v>148</v>
      </c>
      <c r="E60" s="132">
        <f>85.89</f>
        <v>85.89</v>
      </c>
      <c r="F60" s="164"/>
      <c r="G60" s="268"/>
    </row>
    <row r="61" spans="2:8" x14ac:dyDescent="0.25">
      <c r="B61" s="148"/>
      <c r="C61" s="161"/>
      <c r="D61" s="131" t="s">
        <v>163</v>
      </c>
      <c r="E61" s="132">
        <f>109.49+5.99</f>
        <v>115.47999999999999</v>
      </c>
      <c r="F61" s="164"/>
      <c r="G61" s="268"/>
    </row>
    <row r="62" spans="2:8" ht="15.75" thickBot="1" x14ac:dyDescent="0.3">
      <c r="B62" s="148"/>
      <c r="C62" s="162"/>
      <c r="D62" s="99" t="s">
        <v>140</v>
      </c>
      <c r="E62" s="100">
        <v>12.14</v>
      </c>
      <c r="F62" s="165"/>
      <c r="G62" s="268"/>
    </row>
    <row r="63" spans="2:8" x14ac:dyDescent="0.25">
      <c r="B63" s="148"/>
      <c r="C63" s="255" t="s">
        <v>164</v>
      </c>
      <c r="D63" s="256" t="s">
        <v>165</v>
      </c>
      <c r="E63" s="257">
        <f>313.43+9.9</f>
        <v>323.33</v>
      </c>
      <c r="F63" s="258">
        <f>SUM(E63:E65)</f>
        <v>364.6</v>
      </c>
      <c r="G63" s="268"/>
    </row>
    <row r="64" spans="2:8" x14ac:dyDescent="0.25">
      <c r="B64" s="148"/>
      <c r="C64" s="259"/>
      <c r="D64" s="260" t="s">
        <v>166</v>
      </c>
      <c r="E64" s="261">
        <f>33.17</f>
        <v>33.17</v>
      </c>
      <c r="F64" s="262"/>
      <c r="G64" s="268"/>
    </row>
    <row r="65" spans="2:7" ht="15.75" thickBot="1" x14ac:dyDescent="0.3">
      <c r="B65" s="148"/>
      <c r="C65" s="263"/>
      <c r="D65" s="264" t="s">
        <v>167</v>
      </c>
      <c r="E65" s="265">
        <v>8.1</v>
      </c>
      <c r="F65" s="266"/>
      <c r="G65" s="268"/>
    </row>
    <row r="66" spans="2:7" ht="15.75" thickBot="1" x14ac:dyDescent="0.3">
      <c r="B66" s="148"/>
      <c r="C66" s="269" t="s">
        <v>48</v>
      </c>
      <c r="D66" s="101" t="s">
        <v>124</v>
      </c>
      <c r="E66" s="102">
        <f>((9.88*2)/3)+3.1+8+3.45+17.9+28.4+11+(3.5*3)+5.99+4.7</f>
        <v>99.626666666666665</v>
      </c>
      <c r="F66" s="270">
        <f>SUM(E66:E66)</f>
        <v>99.626666666666665</v>
      </c>
      <c r="G66" s="268"/>
    </row>
    <row r="67" spans="2:7" ht="15" customHeight="1" x14ac:dyDescent="0.25">
      <c r="B67" s="154" t="s">
        <v>51</v>
      </c>
      <c r="C67" s="62"/>
      <c r="D67" s="47" t="s">
        <v>37</v>
      </c>
      <c r="E67" s="26">
        <v>1000</v>
      </c>
      <c r="F67" s="28"/>
      <c r="G67" s="141">
        <f>SUM(E67:E75)</f>
        <v>1556.73</v>
      </c>
    </row>
    <row r="68" spans="2:7" ht="15" customHeight="1" x14ac:dyDescent="0.25">
      <c r="B68" s="155"/>
      <c r="C68" s="63"/>
      <c r="D68" s="18" t="s">
        <v>16</v>
      </c>
      <c r="E68" s="19">
        <v>161.21</v>
      </c>
      <c r="F68" s="29"/>
      <c r="G68" s="142"/>
    </row>
    <row r="69" spans="2:7" ht="15" customHeight="1" x14ac:dyDescent="0.25">
      <c r="B69" s="155"/>
      <c r="C69" s="63"/>
      <c r="D69" s="18" t="s">
        <v>64</v>
      </c>
      <c r="E69" s="19">
        <v>161.30000000000001</v>
      </c>
      <c r="F69" s="29"/>
      <c r="G69" s="142"/>
    </row>
    <row r="70" spans="2:7" ht="15" customHeight="1" x14ac:dyDescent="0.25">
      <c r="B70" s="155"/>
      <c r="C70" s="63"/>
      <c r="D70" s="18" t="s">
        <v>65</v>
      </c>
      <c r="E70" s="19">
        <v>166.5</v>
      </c>
      <c r="F70" s="29"/>
      <c r="G70" s="142"/>
    </row>
    <row r="71" spans="2:7" x14ac:dyDescent="0.25">
      <c r="B71" s="155"/>
      <c r="C71" s="63"/>
      <c r="D71" s="18" t="s">
        <v>0</v>
      </c>
      <c r="E71" s="19">
        <v>11.8</v>
      </c>
      <c r="F71" s="29"/>
      <c r="G71" s="142"/>
    </row>
    <row r="72" spans="2:7" x14ac:dyDescent="0.25">
      <c r="B72" s="155"/>
      <c r="C72" s="63"/>
      <c r="D72" s="18" t="s">
        <v>74</v>
      </c>
      <c r="E72" s="19">
        <f>6.91+3.06</f>
        <v>9.9700000000000006</v>
      </c>
      <c r="F72" s="29"/>
      <c r="G72" s="142"/>
    </row>
    <row r="73" spans="2:7" x14ac:dyDescent="0.25">
      <c r="B73" s="155"/>
      <c r="C73" s="63"/>
      <c r="D73" s="18" t="s">
        <v>12</v>
      </c>
      <c r="E73" s="19">
        <v>9.5</v>
      </c>
      <c r="F73" s="29"/>
      <c r="G73" s="142"/>
    </row>
    <row r="74" spans="2:7" x14ac:dyDescent="0.25">
      <c r="B74" s="155"/>
      <c r="C74" s="63"/>
      <c r="D74" s="18" t="s">
        <v>18</v>
      </c>
      <c r="E74" s="19">
        <v>31.45</v>
      </c>
      <c r="F74" s="29"/>
      <c r="G74" s="142"/>
    </row>
    <row r="75" spans="2:7" ht="15.75" thickBot="1" x14ac:dyDescent="0.3">
      <c r="B75" s="156"/>
      <c r="C75" s="64"/>
      <c r="D75" s="20" t="s">
        <v>34</v>
      </c>
      <c r="E75" s="21">
        <v>5</v>
      </c>
      <c r="F75" s="30"/>
      <c r="G75" s="143"/>
    </row>
    <row r="76" spans="2:7" ht="18.75" x14ac:dyDescent="0.25">
      <c r="E76" s="9"/>
      <c r="F76" s="9"/>
      <c r="G76" s="68">
        <f>SUM(G5:G75)</f>
        <v>4627.1466666666665</v>
      </c>
    </row>
    <row r="77" spans="2:7" x14ac:dyDescent="0.25">
      <c r="D77" s="69" t="s">
        <v>60</v>
      </c>
    </row>
    <row r="78" spans="2:7" x14ac:dyDescent="0.25">
      <c r="D78" s="69"/>
    </row>
    <row r="79" spans="2:7" ht="21" x14ac:dyDescent="0.35">
      <c r="B79" s="5"/>
      <c r="C79" s="5"/>
      <c r="D79" s="137" t="s">
        <v>52</v>
      </c>
      <c r="E79" s="138"/>
      <c r="F79" s="139"/>
      <c r="G79" s="67">
        <f>G76+Consommable!G79</f>
        <v>7250.1949999999997</v>
      </c>
    </row>
    <row r="80" spans="2:7" x14ac:dyDescent="0.25">
      <c r="G80" s="9"/>
    </row>
  </sheetData>
  <mergeCells count="26">
    <mergeCell ref="G5:G66"/>
    <mergeCell ref="B5:B66"/>
    <mergeCell ref="C63:C65"/>
    <mergeCell ref="F63:F65"/>
    <mergeCell ref="F30:F41"/>
    <mergeCell ref="C30:C41"/>
    <mergeCell ref="C49:C57"/>
    <mergeCell ref="F28:F29"/>
    <mergeCell ref="C47:C48"/>
    <mergeCell ref="F47:F48"/>
    <mergeCell ref="C42:C46"/>
    <mergeCell ref="F42:F46"/>
    <mergeCell ref="D79:F79"/>
    <mergeCell ref="B2:G2"/>
    <mergeCell ref="G67:G75"/>
    <mergeCell ref="F5:F13"/>
    <mergeCell ref="C5:C13"/>
    <mergeCell ref="C28:C29"/>
    <mergeCell ref="B67:B75"/>
    <mergeCell ref="F49:F57"/>
    <mergeCell ref="C58:C62"/>
    <mergeCell ref="F58:F62"/>
    <mergeCell ref="C14:C20"/>
    <mergeCell ref="F14:F20"/>
    <mergeCell ref="C21:C27"/>
    <mergeCell ref="F21:F27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82"/>
  <sheetViews>
    <sheetView tabSelected="1" topLeftCell="A15" workbookViewId="0">
      <selection activeCell="N28" sqref="N28"/>
    </sheetView>
  </sheetViews>
  <sheetFormatPr baseColWidth="10" defaultRowHeight="15" x14ac:dyDescent="0.25"/>
  <cols>
    <col min="1" max="1" width="5.7109375" customWidth="1"/>
    <col min="2" max="3" width="7.85546875" customWidth="1"/>
    <col min="4" max="4" width="47.140625" bestFit="1" customWidth="1"/>
    <col min="7" max="7" width="13.140625" bestFit="1" customWidth="1"/>
    <col min="9" max="11" width="0" hidden="1" customWidth="1"/>
  </cols>
  <sheetData>
    <row r="2" spans="2:14" ht="26.25" x14ac:dyDescent="0.4">
      <c r="B2" s="140" t="s">
        <v>75</v>
      </c>
      <c r="C2" s="140"/>
      <c r="D2" s="140"/>
      <c r="E2" s="140"/>
      <c r="F2" s="140"/>
      <c r="G2" s="140"/>
    </row>
    <row r="3" spans="2:14" ht="15.75" thickBot="1" x14ac:dyDescent="0.3"/>
    <row r="4" spans="2:14" ht="15.75" thickBot="1" x14ac:dyDescent="0.3">
      <c r="D4" s="8" t="s">
        <v>35</v>
      </c>
      <c r="E4" s="24" t="s">
        <v>36</v>
      </c>
      <c r="F4" s="66" t="s">
        <v>49</v>
      </c>
      <c r="G4" s="65" t="s">
        <v>49</v>
      </c>
      <c r="L4" s="70" t="s">
        <v>61</v>
      </c>
      <c r="M4" s="71"/>
      <c r="N4" s="72"/>
    </row>
    <row r="5" spans="2:14" x14ac:dyDescent="0.25">
      <c r="B5" s="233" t="s">
        <v>40</v>
      </c>
      <c r="C5" s="201" t="s">
        <v>55</v>
      </c>
      <c r="D5" s="103" t="s">
        <v>1</v>
      </c>
      <c r="E5" s="57">
        <f>10.15+3.2</f>
        <v>13.350000000000001</v>
      </c>
      <c r="F5" s="144">
        <f>SUM(E5:E8)</f>
        <v>59.199999999999996</v>
      </c>
      <c r="G5" s="226">
        <f>SUM(F5:F29)</f>
        <v>704.86333333333323</v>
      </c>
      <c r="L5" s="3" t="s">
        <v>6</v>
      </c>
      <c r="M5" s="3" t="s">
        <v>7</v>
      </c>
      <c r="N5" s="3" t="s">
        <v>8</v>
      </c>
    </row>
    <row r="6" spans="2:14" x14ac:dyDescent="0.25">
      <c r="B6" s="234"/>
      <c r="C6" s="202"/>
      <c r="D6" s="104" t="s">
        <v>2</v>
      </c>
      <c r="E6" s="58">
        <v>10.95</v>
      </c>
      <c r="F6" s="145"/>
      <c r="G6" s="227"/>
      <c r="L6" s="1">
        <v>19.829999999999998</v>
      </c>
      <c r="M6" s="2">
        <v>0.2</v>
      </c>
      <c r="N6" s="4">
        <f>ROUND(L6+(L6*M6),2)</f>
        <v>23.8</v>
      </c>
    </row>
    <row r="7" spans="2:14" x14ac:dyDescent="0.25">
      <c r="B7" s="234"/>
      <c r="C7" s="202"/>
      <c r="D7" s="104" t="s">
        <v>29</v>
      </c>
      <c r="E7" s="58">
        <f>8.5*3</f>
        <v>25.5</v>
      </c>
      <c r="F7" s="145"/>
      <c r="G7" s="227"/>
    </row>
    <row r="8" spans="2:14" ht="15.75" thickBot="1" x14ac:dyDescent="0.3">
      <c r="B8" s="234"/>
      <c r="C8" s="203"/>
      <c r="D8" s="105" t="s">
        <v>43</v>
      </c>
      <c r="E8" s="59">
        <f>4.7*2</f>
        <v>9.4</v>
      </c>
      <c r="F8" s="146"/>
      <c r="G8" s="227"/>
    </row>
    <row r="9" spans="2:14" ht="15" customHeight="1" x14ac:dyDescent="0.25">
      <c r="B9" s="234"/>
      <c r="C9" s="230" t="s">
        <v>54</v>
      </c>
      <c r="D9" s="10" t="s">
        <v>23</v>
      </c>
      <c r="E9" s="54">
        <f>15.99*3</f>
        <v>47.97</v>
      </c>
      <c r="F9" s="169">
        <f>SUM(E9:E13)</f>
        <v>185.245</v>
      </c>
      <c r="G9" s="227"/>
    </row>
    <row r="10" spans="2:14" x14ac:dyDescent="0.25">
      <c r="B10" s="234"/>
      <c r="C10" s="231"/>
      <c r="D10" s="11" t="s">
        <v>24</v>
      </c>
      <c r="E10" s="55">
        <v>90.87</v>
      </c>
      <c r="F10" s="170"/>
      <c r="G10" s="227"/>
    </row>
    <row r="11" spans="2:14" x14ac:dyDescent="0.25">
      <c r="B11" s="234"/>
      <c r="C11" s="231"/>
      <c r="D11" s="11" t="s">
        <v>32</v>
      </c>
      <c r="E11" s="55">
        <f>10.6</f>
        <v>10.6</v>
      </c>
      <c r="F11" s="170"/>
      <c r="G11" s="227"/>
    </row>
    <row r="12" spans="2:14" x14ac:dyDescent="0.25">
      <c r="B12" s="234"/>
      <c r="C12" s="231"/>
      <c r="D12" s="11" t="s">
        <v>41</v>
      </c>
      <c r="E12" s="55">
        <f>13.85+14.3</f>
        <v>28.15</v>
      </c>
      <c r="F12" s="170"/>
      <c r="G12" s="227"/>
    </row>
    <row r="13" spans="2:14" ht="15.75" thickBot="1" x14ac:dyDescent="0.3">
      <c r="B13" s="234"/>
      <c r="C13" s="232"/>
      <c r="D13" s="12" t="s">
        <v>58</v>
      </c>
      <c r="E13" s="56">
        <f>15.31/2</f>
        <v>7.6550000000000002</v>
      </c>
      <c r="F13" s="171"/>
      <c r="G13" s="227"/>
    </row>
    <row r="14" spans="2:14" x14ac:dyDescent="0.25">
      <c r="B14" s="234"/>
      <c r="C14" s="223" t="s">
        <v>53</v>
      </c>
      <c r="D14" s="25" t="s">
        <v>28</v>
      </c>
      <c r="E14" s="51">
        <f>(21.89*2)+16.5+(18.66*2)</f>
        <v>97.6</v>
      </c>
      <c r="F14" s="175">
        <f>SUM(E14:E24)</f>
        <v>375.08999999999992</v>
      </c>
      <c r="G14" s="227"/>
    </row>
    <row r="15" spans="2:14" x14ac:dyDescent="0.25">
      <c r="B15" s="234"/>
      <c r="C15" s="224"/>
      <c r="D15" s="23" t="s">
        <v>5</v>
      </c>
      <c r="E15" s="52">
        <f>23.3*2</f>
        <v>46.6</v>
      </c>
      <c r="F15" s="176"/>
      <c r="G15" s="227"/>
      <c r="I15" s="3" t="s">
        <v>6</v>
      </c>
      <c r="J15" s="3" t="s">
        <v>7</v>
      </c>
      <c r="K15" s="3" t="s">
        <v>8</v>
      </c>
    </row>
    <row r="16" spans="2:14" x14ac:dyDescent="0.25">
      <c r="B16" s="234"/>
      <c r="C16" s="224"/>
      <c r="D16" s="23" t="s">
        <v>4</v>
      </c>
      <c r="E16" s="52">
        <v>28.7</v>
      </c>
      <c r="F16" s="176"/>
      <c r="G16" s="227"/>
      <c r="I16" s="1">
        <v>5.86</v>
      </c>
      <c r="J16" s="2">
        <v>0.19600000000000001</v>
      </c>
      <c r="K16" s="4">
        <f>ROUND(I16+(I16*J16),2)</f>
        <v>7.01</v>
      </c>
    </row>
    <row r="17" spans="2:16" x14ac:dyDescent="0.25">
      <c r="B17" s="234"/>
      <c r="C17" s="224"/>
      <c r="D17" s="23" t="s">
        <v>38</v>
      </c>
      <c r="E17" s="52">
        <f>19.9/2</f>
        <v>9.9499999999999993</v>
      </c>
      <c r="F17" s="176"/>
      <c r="G17" s="227"/>
    </row>
    <row r="18" spans="2:16" x14ac:dyDescent="0.25">
      <c r="B18" s="234"/>
      <c r="C18" s="224"/>
      <c r="D18" s="23" t="s">
        <v>11</v>
      </c>
      <c r="E18" s="52">
        <v>15.1</v>
      </c>
      <c r="F18" s="176"/>
      <c r="G18" s="227"/>
      <c r="P18" s="27"/>
    </row>
    <row r="19" spans="2:16" x14ac:dyDescent="0.25">
      <c r="B19" s="234"/>
      <c r="C19" s="224"/>
      <c r="D19" s="23" t="s">
        <v>3</v>
      </c>
      <c r="E19" s="52">
        <v>21.8</v>
      </c>
      <c r="F19" s="176"/>
      <c r="G19" s="227"/>
    </row>
    <row r="20" spans="2:16" x14ac:dyDescent="0.25">
      <c r="B20" s="234"/>
      <c r="C20" s="224"/>
      <c r="D20" s="23" t="s">
        <v>33</v>
      </c>
      <c r="E20" s="52">
        <f>14.5*2</f>
        <v>29</v>
      </c>
      <c r="F20" s="176"/>
      <c r="G20" s="227"/>
    </row>
    <row r="21" spans="2:16" x14ac:dyDescent="0.25">
      <c r="B21" s="234"/>
      <c r="C21" s="224"/>
      <c r="D21" s="23" t="s">
        <v>27</v>
      </c>
      <c r="E21" s="52">
        <f>42.84+5.7</f>
        <v>48.540000000000006</v>
      </c>
      <c r="F21" s="176"/>
      <c r="G21" s="227"/>
    </row>
    <row r="22" spans="2:16" x14ac:dyDescent="0.25">
      <c r="B22" s="234"/>
      <c r="C22" s="224"/>
      <c r="D22" s="23" t="s">
        <v>42</v>
      </c>
      <c r="E22" s="52">
        <v>54</v>
      </c>
      <c r="F22" s="176"/>
      <c r="G22" s="227"/>
    </row>
    <row r="23" spans="2:16" x14ac:dyDescent="0.25">
      <c r="B23" s="234"/>
      <c r="C23" s="224"/>
      <c r="D23" s="241" t="s">
        <v>158</v>
      </c>
      <c r="E23" s="250">
        <v>11.9</v>
      </c>
      <c r="F23" s="176"/>
      <c r="G23" s="227"/>
    </row>
    <row r="24" spans="2:16" ht="15.75" thickBot="1" x14ac:dyDescent="0.3">
      <c r="B24" s="234"/>
      <c r="C24" s="225"/>
      <c r="D24" s="15" t="s">
        <v>44</v>
      </c>
      <c r="E24" s="53">
        <v>11.9</v>
      </c>
      <c r="F24" s="177"/>
      <c r="G24" s="227"/>
    </row>
    <row r="25" spans="2:16" x14ac:dyDescent="0.25">
      <c r="B25" s="234"/>
      <c r="C25" s="201" t="s">
        <v>48</v>
      </c>
      <c r="D25" s="13" t="s">
        <v>13</v>
      </c>
      <c r="E25" s="48">
        <v>3.95</v>
      </c>
      <c r="F25" s="209">
        <f>SUM(E25:E29)</f>
        <v>85.328333333333333</v>
      </c>
      <c r="G25" s="227"/>
    </row>
    <row r="26" spans="2:16" x14ac:dyDescent="0.25">
      <c r="B26" s="234"/>
      <c r="C26" s="202"/>
      <c r="D26" s="14" t="s">
        <v>22</v>
      </c>
      <c r="E26" s="49">
        <v>20.34</v>
      </c>
      <c r="F26" s="210"/>
      <c r="G26" s="227"/>
    </row>
    <row r="27" spans="2:16" x14ac:dyDescent="0.25">
      <c r="B27" s="234"/>
      <c r="C27" s="202"/>
      <c r="D27" s="14" t="s">
        <v>83</v>
      </c>
      <c r="E27" s="49">
        <f>17.05/2</f>
        <v>8.5250000000000004</v>
      </c>
      <c r="F27" s="210"/>
      <c r="G27" s="227"/>
    </row>
    <row r="28" spans="2:16" x14ac:dyDescent="0.25">
      <c r="B28" s="234"/>
      <c r="C28" s="202"/>
      <c r="D28" s="14" t="s">
        <v>30</v>
      </c>
      <c r="E28" s="49">
        <f>9.88/3</f>
        <v>3.2933333333333334</v>
      </c>
      <c r="F28" s="210"/>
      <c r="G28" s="227"/>
    </row>
    <row r="29" spans="2:16" ht="15.75" thickBot="1" x14ac:dyDescent="0.3">
      <c r="B29" s="234"/>
      <c r="C29" s="202"/>
      <c r="D29" s="46" t="s">
        <v>39</v>
      </c>
      <c r="E29" s="50">
        <v>49.22</v>
      </c>
      <c r="F29" s="210"/>
      <c r="G29" s="227"/>
    </row>
    <row r="30" spans="2:16" x14ac:dyDescent="0.25">
      <c r="B30" s="236" t="s">
        <v>130</v>
      </c>
      <c r="C30" s="239"/>
      <c r="D30" s="112" t="s">
        <v>92</v>
      </c>
      <c r="E30" s="113">
        <v>18.100000000000001</v>
      </c>
      <c r="F30" s="211">
        <f>SUM(E30:E31)</f>
        <v>67.069999999999993</v>
      </c>
      <c r="G30" s="211">
        <f>SUM(F30:F54)</f>
        <v>1266.655</v>
      </c>
      <c r="L30" s="27"/>
    </row>
    <row r="31" spans="2:16" ht="15.75" thickBot="1" x14ac:dyDescent="0.3">
      <c r="B31" s="237"/>
      <c r="C31" s="240"/>
      <c r="D31" s="114" t="s">
        <v>84</v>
      </c>
      <c r="E31" s="115">
        <f>5.9+8.95+12.99+3.99+4.99+4+5+3.15</f>
        <v>48.97</v>
      </c>
      <c r="F31" s="213"/>
      <c r="G31" s="212"/>
      <c r="L31" s="27"/>
    </row>
    <row r="32" spans="2:16" x14ac:dyDescent="0.25">
      <c r="B32" s="237"/>
      <c r="C32" s="240"/>
      <c r="D32" s="116" t="s">
        <v>85</v>
      </c>
      <c r="E32" s="117">
        <f>16+10+9</f>
        <v>35</v>
      </c>
      <c r="F32" s="211">
        <f>SUM(E32:E35)</f>
        <v>326.35500000000002</v>
      </c>
      <c r="G32" s="212"/>
      <c r="L32" s="27"/>
    </row>
    <row r="33" spans="2:12" x14ac:dyDescent="0.25">
      <c r="B33" s="237"/>
      <c r="C33" s="240"/>
      <c r="D33" s="116" t="s">
        <v>91</v>
      </c>
      <c r="E33" s="117">
        <f>8.6+39.9+37.9</f>
        <v>86.4</v>
      </c>
      <c r="F33" s="212"/>
      <c r="G33" s="212"/>
      <c r="L33" s="27"/>
    </row>
    <row r="34" spans="2:12" x14ac:dyDescent="0.25">
      <c r="B34" s="237"/>
      <c r="C34" s="240"/>
      <c r="D34" s="118" t="s">
        <v>125</v>
      </c>
      <c r="E34" s="119">
        <f>(10.6*3)+26.97+13.6+8+8+28+(5.5+5.3)+(5.3+5.5)</f>
        <v>137.97</v>
      </c>
      <c r="F34" s="212"/>
      <c r="G34" s="212"/>
      <c r="H34" s="81"/>
      <c r="L34" s="27"/>
    </row>
    <row r="35" spans="2:12" ht="15.75" thickBot="1" x14ac:dyDescent="0.3">
      <c r="B35" s="237"/>
      <c r="C35" s="240"/>
      <c r="D35" s="120" t="s">
        <v>95</v>
      </c>
      <c r="E35" s="121">
        <f>(15.31*1.5)+(22.01*2)</f>
        <v>66.984999999999999</v>
      </c>
      <c r="F35" s="213"/>
      <c r="G35" s="212"/>
      <c r="H35" s="81"/>
      <c r="L35" s="27"/>
    </row>
    <row r="36" spans="2:12" x14ac:dyDescent="0.25">
      <c r="B36" s="237"/>
      <c r="C36" s="207"/>
      <c r="D36" s="112" t="s">
        <v>38</v>
      </c>
      <c r="E36" s="113">
        <v>12.5</v>
      </c>
      <c r="F36" s="228">
        <f>SUM(E36:E49)</f>
        <v>420.19999999999993</v>
      </c>
      <c r="G36" s="212"/>
      <c r="H36" s="81"/>
      <c r="L36" s="27"/>
    </row>
    <row r="37" spans="2:12" x14ac:dyDescent="0.25">
      <c r="B37" s="237"/>
      <c r="C37" s="207"/>
      <c r="D37" s="118" t="s">
        <v>81</v>
      </c>
      <c r="E37" s="119">
        <f>97.06/2</f>
        <v>48.53</v>
      </c>
      <c r="F37" s="229"/>
      <c r="G37" s="212"/>
      <c r="L37" s="27"/>
    </row>
    <row r="38" spans="2:12" x14ac:dyDescent="0.25">
      <c r="B38" s="237"/>
      <c r="C38" s="207"/>
      <c r="D38" s="118" t="s">
        <v>88</v>
      </c>
      <c r="E38" s="119">
        <f>((49.9+24.9)/5)*2</f>
        <v>29.919999999999998</v>
      </c>
      <c r="F38" s="229"/>
      <c r="G38" s="212"/>
      <c r="L38" s="27"/>
    </row>
    <row r="39" spans="2:12" x14ac:dyDescent="0.25">
      <c r="B39" s="237"/>
      <c r="C39" s="207"/>
      <c r="D39" s="118" t="s">
        <v>99</v>
      </c>
      <c r="E39" s="119">
        <v>18.899999999999999</v>
      </c>
      <c r="F39" s="229"/>
      <c r="G39" s="212"/>
      <c r="L39" s="27"/>
    </row>
    <row r="40" spans="2:12" x14ac:dyDescent="0.25">
      <c r="B40" s="237"/>
      <c r="C40" s="207"/>
      <c r="D40" s="118" t="s">
        <v>106</v>
      </c>
      <c r="E40" s="119">
        <v>10.9</v>
      </c>
      <c r="F40" s="229"/>
      <c r="G40" s="212"/>
      <c r="L40" s="27"/>
    </row>
    <row r="41" spans="2:12" x14ac:dyDescent="0.25">
      <c r="B41" s="237"/>
      <c r="C41" s="207"/>
      <c r="D41" s="118" t="s">
        <v>155</v>
      </c>
      <c r="E41" s="119">
        <v>18.899999999999999</v>
      </c>
      <c r="F41" s="229"/>
      <c r="G41" s="212"/>
      <c r="L41" s="27"/>
    </row>
    <row r="42" spans="2:12" x14ac:dyDescent="0.25">
      <c r="B42" s="237"/>
      <c r="C42" s="207"/>
      <c r="D42" s="118" t="s">
        <v>110</v>
      </c>
      <c r="E42" s="119">
        <f>12.85*2</f>
        <v>25.7</v>
      </c>
      <c r="F42" s="229"/>
      <c r="G42" s="212"/>
      <c r="L42" s="27"/>
    </row>
    <row r="43" spans="2:12" x14ac:dyDescent="0.25">
      <c r="B43" s="237"/>
      <c r="C43" s="207"/>
      <c r="D43" s="118" t="s">
        <v>103</v>
      </c>
      <c r="E43" s="119">
        <f>12.85*2</f>
        <v>25.7</v>
      </c>
      <c r="F43" s="229"/>
      <c r="G43" s="212"/>
      <c r="L43" s="27"/>
    </row>
    <row r="44" spans="2:12" x14ac:dyDescent="0.25">
      <c r="B44" s="237"/>
      <c r="C44" s="207"/>
      <c r="D44" s="118" t="s">
        <v>104</v>
      </c>
      <c r="E44" s="119">
        <v>15.5</v>
      </c>
      <c r="F44" s="229"/>
      <c r="G44" s="212"/>
      <c r="L44" s="27"/>
    </row>
    <row r="45" spans="2:12" x14ac:dyDescent="0.25">
      <c r="B45" s="237"/>
      <c r="C45" s="207"/>
      <c r="D45" s="118" t="s">
        <v>97</v>
      </c>
      <c r="E45" s="119">
        <v>13.5</v>
      </c>
      <c r="F45" s="229"/>
      <c r="G45" s="212"/>
      <c r="L45" s="27"/>
    </row>
    <row r="46" spans="2:12" x14ac:dyDescent="0.25">
      <c r="B46" s="237"/>
      <c r="C46" s="207"/>
      <c r="D46" s="118" t="s">
        <v>149</v>
      </c>
      <c r="E46" s="119">
        <f>12.1+11.21+12.85+12.85+23.8+12.04</f>
        <v>84.85</v>
      </c>
      <c r="F46" s="229"/>
      <c r="G46" s="212"/>
      <c r="L46" s="27"/>
    </row>
    <row r="47" spans="2:12" x14ac:dyDescent="0.25">
      <c r="B47" s="237"/>
      <c r="C47" s="207"/>
      <c r="D47" s="118" t="s">
        <v>87</v>
      </c>
      <c r="E47" s="119">
        <f>13.78*2</f>
        <v>27.56</v>
      </c>
      <c r="F47" s="229"/>
      <c r="G47" s="212"/>
    </row>
    <row r="48" spans="2:12" x14ac:dyDescent="0.25">
      <c r="B48" s="237"/>
      <c r="C48" s="207"/>
      <c r="D48" s="118" t="s">
        <v>122</v>
      </c>
      <c r="E48" s="119">
        <f>14.89+53.96+8.99</f>
        <v>77.839999999999989</v>
      </c>
      <c r="F48" s="229"/>
      <c r="G48" s="212"/>
      <c r="H48" s="81"/>
    </row>
    <row r="49" spans="2:8" ht="15.75" thickBot="1" x14ac:dyDescent="0.3">
      <c r="B49" s="237"/>
      <c r="C49" s="207"/>
      <c r="D49" s="120" t="s">
        <v>123</v>
      </c>
      <c r="E49" s="121">
        <v>9.9</v>
      </c>
      <c r="F49" s="235"/>
      <c r="G49" s="212"/>
      <c r="H49" s="81"/>
    </row>
    <row r="50" spans="2:8" x14ac:dyDescent="0.25">
      <c r="B50" s="237"/>
      <c r="C50" s="207"/>
      <c r="D50" s="112" t="s">
        <v>96</v>
      </c>
      <c r="E50" s="113">
        <f>90.55+55.96</f>
        <v>146.51</v>
      </c>
      <c r="F50" s="228">
        <f>SUM(E50:E54)</f>
        <v>453.03000000000003</v>
      </c>
      <c r="G50" s="212"/>
      <c r="H50" s="81"/>
    </row>
    <row r="51" spans="2:8" x14ac:dyDescent="0.25">
      <c r="B51" s="237"/>
      <c r="C51" s="207"/>
      <c r="D51" s="118" t="s">
        <v>98</v>
      </c>
      <c r="E51" s="119">
        <f>64.5+20.95+30.31+25.96+30.31+(12.9*2)</f>
        <v>197.83</v>
      </c>
      <c r="F51" s="229"/>
      <c r="G51" s="212"/>
      <c r="H51" s="81"/>
    </row>
    <row r="52" spans="2:8" x14ac:dyDescent="0.25">
      <c r="B52" s="237"/>
      <c r="C52" s="207"/>
      <c r="D52" s="118" t="s">
        <v>159</v>
      </c>
      <c r="E52" s="119">
        <v>6.5</v>
      </c>
      <c r="F52" s="229"/>
      <c r="G52" s="212"/>
      <c r="H52" s="81"/>
    </row>
    <row r="53" spans="2:8" x14ac:dyDescent="0.25">
      <c r="B53" s="237"/>
      <c r="C53" s="207"/>
      <c r="D53" s="118" t="s">
        <v>131</v>
      </c>
      <c r="E53" s="119">
        <v>38.39</v>
      </c>
      <c r="F53" s="229"/>
      <c r="G53" s="212"/>
      <c r="H53" s="81"/>
    </row>
    <row r="54" spans="2:8" ht="15.75" thickBot="1" x14ac:dyDescent="0.3">
      <c r="B54" s="238"/>
      <c r="C54" s="208"/>
      <c r="D54" s="120" t="s">
        <v>107</v>
      </c>
      <c r="E54" s="121">
        <v>63.8</v>
      </c>
      <c r="F54" s="229"/>
      <c r="G54" s="213"/>
      <c r="H54" s="81"/>
    </row>
    <row r="55" spans="2:8" ht="15" customHeight="1" x14ac:dyDescent="0.25">
      <c r="B55" s="217" t="s">
        <v>79</v>
      </c>
      <c r="C55" s="216"/>
      <c r="D55" s="106" t="s">
        <v>125</v>
      </c>
      <c r="E55" s="107">
        <f>8.6+4.3+9+9</f>
        <v>30.9</v>
      </c>
      <c r="F55" s="204">
        <f>SUM(E55:E56)</f>
        <v>38.89</v>
      </c>
      <c r="G55" s="220">
        <f>SUM(F55:F68)</f>
        <v>434.74</v>
      </c>
    </row>
    <row r="56" spans="2:8" ht="15" customHeight="1" thickBot="1" x14ac:dyDescent="0.3">
      <c r="B56" s="218"/>
      <c r="C56" s="207"/>
      <c r="D56" s="108" t="s">
        <v>128</v>
      </c>
      <c r="E56" s="109">
        <v>7.99</v>
      </c>
      <c r="F56" s="205"/>
      <c r="G56" s="221"/>
    </row>
    <row r="57" spans="2:8" x14ac:dyDescent="0.25">
      <c r="B57" s="218"/>
      <c r="C57" s="207"/>
      <c r="D57" s="106" t="s">
        <v>89</v>
      </c>
      <c r="E57" s="107">
        <f>((49.9+24.9)/5)*3</f>
        <v>44.879999999999995</v>
      </c>
      <c r="F57" s="204">
        <f>SUM(E57:E66)</f>
        <v>248.78000000000003</v>
      </c>
      <c r="G57" s="221"/>
    </row>
    <row r="58" spans="2:8" x14ac:dyDescent="0.25">
      <c r="B58" s="218"/>
      <c r="C58" s="207"/>
      <c r="D58" s="244" t="s">
        <v>172</v>
      </c>
      <c r="E58" s="245">
        <v>30.6</v>
      </c>
      <c r="F58" s="246"/>
      <c r="G58" s="221"/>
    </row>
    <row r="59" spans="2:8" x14ac:dyDescent="0.25">
      <c r="B59" s="218"/>
      <c r="C59" s="207"/>
      <c r="D59" s="244" t="s">
        <v>162</v>
      </c>
      <c r="E59" s="245">
        <f>18.9+9</f>
        <v>27.9</v>
      </c>
      <c r="F59" s="246"/>
      <c r="G59" s="221"/>
    </row>
    <row r="60" spans="2:8" x14ac:dyDescent="0.25">
      <c r="B60" s="218"/>
      <c r="C60" s="207"/>
      <c r="D60" s="244" t="s">
        <v>160</v>
      </c>
      <c r="E60" s="245">
        <f>12.99</f>
        <v>12.99</v>
      </c>
      <c r="F60" s="246"/>
      <c r="G60" s="221"/>
    </row>
    <row r="61" spans="2:8" x14ac:dyDescent="0.25">
      <c r="B61" s="218"/>
      <c r="C61" s="207"/>
      <c r="D61" s="244" t="s">
        <v>161</v>
      </c>
      <c r="E61" s="245">
        <f>16.99+20.99</f>
        <v>37.979999999999997</v>
      </c>
      <c r="F61" s="246"/>
      <c r="G61" s="221"/>
    </row>
    <row r="62" spans="2:8" x14ac:dyDescent="0.25">
      <c r="B62" s="218"/>
      <c r="C62" s="207"/>
      <c r="D62" s="244" t="s">
        <v>151</v>
      </c>
      <c r="E62" s="245">
        <f>34.9+6.99</f>
        <v>41.89</v>
      </c>
      <c r="F62" s="246"/>
      <c r="G62" s="221"/>
    </row>
    <row r="63" spans="2:8" x14ac:dyDescent="0.25">
      <c r="B63" s="218"/>
      <c r="C63" s="207"/>
      <c r="D63" s="244" t="s">
        <v>150</v>
      </c>
      <c r="E63" s="245">
        <f>9.24</f>
        <v>9.24</v>
      </c>
      <c r="F63" s="246"/>
      <c r="G63" s="221"/>
    </row>
    <row r="64" spans="2:8" x14ac:dyDescent="0.25">
      <c r="B64" s="218"/>
      <c r="C64" s="207"/>
      <c r="D64" s="110" t="s">
        <v>126</v>
      </c>
      <c r="E64" s="111">
        <v>17.899999999999999</v>
      </c>
      <c r="F64" s="206"/>
      <c r="G64" s="221"/>
    </row>
    <row r="65" spans="2:12" x14ac:dyDescent="0.25">
      <c r="B65" s="218"/>
      <c r="C65" s="207"/>
      <c r="D65" s="247" t="s">
        <v>157</v>
      </c>
      <c r="E65" s="248">
        <v>10.9</v>
      </c>
      <c r="F65" s="249"/>
      <c r="G65" s="221"/>
    </row>
    <row r="66" spans="2:12" ht="15.75" thickBot="1" x14ac:dyDescent="0.3">
      <c r="B66" s="218"/>
      <c r="C66" s="207"/>
      <c r="D66" s="108" t="s">
        <v>142</v>
      </c>
      <c r="E66" s="109">
        <v>14.5</v>
      </c>
      <c r="F66" s="205"/>
      <c r="G66" s="221"/>
    </row>
    <row r="67" spans="2:12" x14ac:dyDescent="0.25">
      <c r="B67" s="218"/>
      <c r="C67" s="207"/>
      <c r="D67" s="106" t="s">
        <v>133</v>
      </c>
      <c r="E67" s="107">
        <f>97.06+30.11</f>
        <v>127.17</v>
      </c>
      <c r="F67" s="204">
        <f>SUM(E67:E68)</f>
        <v>147.07</v>
      </c>
      <c r="G67" s="221"/>
      <c r="H67" s="81"/>
    </row>
    <row r="68" spans="2:12" ht="15.75" thickBot="1" x14ac:dyDescent="0.3">
      <c r="B68" s="219"/>
      <c r="C68" s="82"/>
      <c r="D68" s="108" t="s">
        <v>127</v>
      </c>
      <c r="E68" s="109">
        <f>19.9</f>
        <v>19.899999999999999</v>
      </c>
      <c r="F68" s="205"/>
      <c r="G68" s="222"/>
      <c r="H68" s="81"/>
      <c r="L68" s="27"/>
    </row>
    <row r="69" spans="2:12" x14ac:dyDescent="0.25">
      <c r="B69" s="197" t="s">
        <v>57</v>
      </c>
      <c r="C69" s="207"/>
      <c r="D69" s="47" t="s">
        <v>93</v>
      </c>
      <c r="E69" s="26">
        <f>9.3*2</f>
        <v>18.600000000000001</v>
      </c>
      <c r="F69" s="214"/>
      <c r="G69" s="200">
        <f>SUM(E69:E78)</f>
        <v>216.79</v>
      </c>
    </row>
    <row r="70" spans="2:12" x14ac:dyDescent="0.25">
      <c r="B70" s="198"/>
      <c r="C70" s="207"/>
      <c r="D70" s="18" t="s">
        <v>94</v>
      </c>
      <c r="E70" s="19">
        <v>1.18</v>
      </c>
      <c r="F70" s="214"/>
      <c r="G70" s="200"/>
    </row>
    <row r="71" spans="2:12" x14ac:dyDescent="0.25">
      <c r="B71" s="198"/>
      <c r="C71" s="207"/>
      <c r="D71" s="18" t="s">
        <v>90</v>
      </c>
      <c r="E71" s="19">
        <f>9.9+3.6</f>
        <v>13.5</v>
      </c>
      <c r="F71" s="214"/>
      <c r="G71" s="200"/>
    </row>
    <row r="72" spans="2:12" x14ac:dyDescent="0.25">
      <c r="B72" s="198"/>
      <c r="C72" s="207"/>
      <c r="D72" s="18" t="s">
        <v>156</v>
      </c>
      <c r="E72" s="19">
        <f>12.3+12.9+12.9+13.5+13.5+12.6+20.9</f>
        <v>98.6</v>
      </c>
      <c r="F72" s="214"/>
      <c r="G72" s="200"/>
    </row>
    <row r="73" spans="2:12" x14ac:dyDescent="0.25">
      <c r="B73" s="198"/>
      <c r="C73" s="207"/>
      <c r="D73" s="18" t="s">
        <v>109</v>
      </c>
      <c r="E73" s="19">
        <v>6</v>
      </c>
      <c r="F73" s="214"/>
      <c r="G73" s="200"/>
    </row>
    <row r="74" spans="2:12" x14ac:dyDescent="0.25">
      <c r="B74" s="198"/>
      <c r="C74" s="207"/>
      <c r="D74" s="18" t="s">
        <v>26</v>
      </c>
      <c r="E74" s="19">
        <f>6.65+6.5</f>
        <v>13.15</v>
      </c>
      <c r="F74" s="214"/>
      <c r="G74" s="200"/>
    </row>
    <row r="75" spans="2:12" x14ac:dyDescent="0.25">
      <c r="B75" s="198"/>
      <c r="C75" s="207"/>
      <c r="D75" s="60" t="s">
        <v>59</v>
      </c>
      <c r="E75" s="61">
        <f>11.6/10</f>
        <v>1.1599999999999999</v>
      </c>
      <c r="F75" s="214"/>
      <c r="G75" s="200"/>
    </row>
    <row r="76" spans="2:12" x14ac:dyDescent="0.25">
      <c r="B76" s="198"/>
      <c r="C76" s="207"/>
      <c r="D76" s="75" t="s">
        <v>82</v>
      </c>
      <c r="E76" s="76">
        <f>29.7+(12.9+7.9)</f>
        <v>50.5</v>
      </c>
      <c r="F76" s="214"/>
      <c r="G76" s="200"/>
    </row>
    <row r="77" spans="2:12" x14ac:dyDescent="0.25">
      <c r="B77" s="198"/>
      <c r="C77" s="207"/>
      <c r="D77" s="77" t="s">
        <v>105</v>
      </c>
      <c r="E77" s="78">
        <v>8.9</v>
      </c>
      <c r="F77" s="214"/>
      <c r="G77" s="200"/>
    </row>
    <row r="78" spans="2:12" ht="15.75" thickBot="1" x14ac:dyDescent="0.3">
      <c r="B78" s="199"/>
      <c r="C78" s="208"/>
      <c r="D78" s="79" t="s">
        <v>86</v>
      </c>
      <c r="E78" s="80">
        <v>5.2</v>
      </c>
      <c r="F78" s="215"/>
      <c r="G78" s="200"/>
    </row>
    <row r="79" spans="2:12" ht="19.5" thickBot="1" x14ac:dyDescent="0.3">
      <c r="G79" s="68">
        <f>SUM(G5:G78)</f>
        <v>2623.0483333333332</v>
      </c>
    </row>
    <row r="80" spans="2:12" x14ac:dyDescent="0.25">
      <c r="B80" s="22"/>
      <c r="C80" s="22"/>
      <c r="D80" s="69"/>
      <c r="F80" s="27"/>
    </row>
    <row r="82" spans="7:7" x14ac:dyDescent="0.25">
      <c r="G82" s="9"/>
    </row>
  </sheetData>
  <mergeCells count="28">
    <mergeCell ref="B2:G2"/>
    <mergeCell ref="C25:C29"/>
    <mergeCell ref="C14:C24"/>
    <mergeCell ref="G5:G29"/>
    <mergeCell ref="F50:F54"/>
    <mergeCell ref="F5:F8"/>
    <mergeCell ref="C9:C13"/>
    <mergeCell ref="F9:F13"/>
    <mergeCell ref="F14:F24"/>
    <mergeCell ref="B5:B29"/>
    <mergeCell ref="F36:F49"/>
    <mergeCell ref="B30:B54"/>
    <mergeCell ref="C30:C54"/>
    <mergeCell ref="B69:B78"/>
    <mergeCell ref="G69:G78"/>
    <mergeCell ref="C5:C8"/>
    <mergeCell ref="F55:F56"/>
    <mergeCell ref="F57:F66"/>
    <mergeCell ref="F67:F68"/>
    <mergeCell ref="C69:C78"/>
    <mergeCell ref="F25:F29"/>
    <mergeCell ref="G30:G54"/>
    <mergeCell ref="F30:F31"/>
    <mergeCell ref="F32:F35"/>
    <mergeCell ref="F69:F78"/>
    <mergeCell ref="C55:C67"/>
    <mergeCell ref="B55:B68"/>
    <mergeCell ref="G55:G68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Pièces neuves</vt:lpstr>
      <vt:lpstr>Consommable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2023-12-30T12:01:23Z</dcterms:modified>
</cp:coreProperties>
</file>